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.assis.CRN9MG\Desktop\"/>
    </mc:Choice>
  </mc:AlternateContent>
  <xr:revisionPtr revIDLastSave="0" documentId="13_ncr:1_{A0E7959B-253D-49C0-8180-C0C479E413B9}" xr6:coauthVersionLast="36" xr6:coauthVersionMax="36" xr10:uidLastSave="{00000000-0000-0000-0000-000000000000}"/>
  <bookViews>
    <workbookView xWindow="0" yWindow="0" windowWidth="5310" windowHeight="420" tabRatio="883" activeTab="1" xr2:uid="{00000000-000D-0000-FFFF-FFFF00000000}"/>
  </bookViews>
  <sheets>
    <sheet name="Planilha sintética" sheetId="43" r:id="rId1"/>
    <sheet name="Planilha analítica" sheetId="4" r:id="rId2"/>
    <sheet name="Memoria de Cálculo" sheetId="3" r:id="rId3"/>
  </sheets>
  <externalReferences>
    <externalReference r:id="rId4"/>
  </externalReferences>
  <definedNames>
    <definedName name="_xlnm._FilterDatabase" localSheetId="1" hidden="1">'Planilha analítica'!$A$5:$J$486</definedName>
    <definedName name="_xlnm.Print_Area" localSheetId="2">'Memoria de Cálculo'!$A$1:$DW$53</definedName>
    <definedName name="_xlnm.Print_Area" localSheetId="1">'Planilha analítica'!$A$1:$J$486</definedName>
    <definedName name="_xlnm.Print_Area" localSheetId="0">'Planilha sintética'!$A$1:$E$35</definedName>
    <definedName name="BDI_ADM">[1]BDI!$I$10</definedName>
    <definedName name="BDI_ENC">[1]BDI!$I$13</definedName>
    <definedName name="BDI_LUCRO">[1]BDI!$I$22</definedName>
    <definedName name="BDI_RISC">[1]BDI!$I$11</definedName>
    <definedName name="BDI_SEG">[1]BDI!$I$12</definedName>
    <definedName name="BDI_TOTAL">[1]BDI!$I$25</definedName>
    <definedName name="BDI_TRIB">[1]BDI!$I$16</definedName>
    <definedName name="LS">[1]DADOS!$B$2</definedName>
    <definedName name="_xlnm.Print_Titles" localSheetId="2">'Memoria de Cálculo'!$A:$A</definedName>
    <definedName name="_xlnm.Print_Titles" localSheetId="1">'Planilha analítica'!$1:$5</definedName>
  </definedNames>
  <calcPr calcId="191029"/>
</workbook>
</file>

<file path=xl/calcChain.xml><?xml version="1.0" encoding="utf-8"?>
<calcChain xmlns="http://schemas.openxmlformats.org/spreadsheetml/2006/main">
  <c r="H376" i="4" l="1"/>
  <c r="I376" i="4" s="1"/>
  <c r="J376" i="4" s="1"/>
  <c r="H374" i="4"/>
  <c r="I374" i="4" s="1"/>
  <c r="J374" i="4" s="1"/>
  <c r="H373" i="4"/>
  <c r="I373" i="4" s="1"/>
  <c r="J373" i="4" s="1"/>
  <c r="H371" i="4"/>
  <c r="I371" i="4" s="1"/>
  <c r="J371" i="4" s="1"/>
  <c r="H370" i="4"/>
  <c r="I370" i="4" s="1"/>
  <c r="J370" i="4" s="1"/>
  <c r="H369" i="4"/>
  <c r="I369" i="4" s="1"/>
  <c r="J369" i="4" s="1"/>
  <c r="H368" i="4"/>
  <c r="I368" i="4" s="1"/>
  <c r="J368" i="4" s="1"/>
  <c r="H367" i="4"/>
  <c r="I367" i="4" s="1"/>
  <c r="J367" i="4" s="1"/>
  <c r="H366" i="4"/>
  <c r="I366" i="4" s="1"/>
  <c r="J366" i="4" s="1"/>
  <c r="H365" i="4"/>
  <c r="I365" i="4" s="1"/>
  <c r="J365" i="4" s="1"/>
  <c r="H364" i="4"/>
  <c r="I364" i="4" s="1"/>
  <c r="J364" i="4" s="1"/>
  <c r="H363" i="4"/>
  <c r="I363" i="4" s="1"/>
  <c r="J363" i="4" s="1"/>
  <c r="H362" i="4"/>
  <c r="I362" i="4" s="1"/>
  <c r="J362" i="4" s="1"/>
  <c r="H361" i="4"/>
  <c r="I361" i="4" s="1"/>
  <c r="J361" i="4" s="1"/>
  <c r="H360" i="4"/>
  <c r="I360" i="4" s="1"/>
  <c r="J360" i="4" s="1"/>
  <c r="H358" i="4"/>
  <c r="I358" i="4" s="1"/>
  <c r="J358" i="4" s="1"/>
  <c r="H357" i="4"/>
  <c r="I357" i="4" s="1"/>
  <c r="J357" i="4" s="1"/>
  <c r="H356" i="4"/>
  <c r="I356" i="4" s="1"/>
  <c r="J356" i="4" s="1"/>
  <c r="H355" i="4"/>
  <c r="I355" i="4" s="1"/>
  <c r="J355" i="4" s="1"/>
  <c r="H354" i="4"/>
  <c r="I354" i="4" s="1"/>
  <c r="J354" i="4" s="1"/>
  <c r="H353" i="4"/>
  <c r="I353" i="4" s="1"/>
  <c r="J353" i="4" s="1"/>
  <c r="H352" i="4"/>
  <c r="I352" i="4" s="1"/>
  <c r="J352" i="4" s="1"/>
  <c r="H351" i="4"/>
  <c r="I351" i="4" s="1"/>
  <c r="J351" i="4" s="1"/>
  <c r="H350" i="4"/>
  <c r="I350" i="4" s="1"/>
  <c r="J350" i="4" s="1"/>
  <c r="H349" i="4"/>
  <c r="I349" i="4" s="1"/>
  <c r="J349" i="4" s="1"/>
  <c r="H348" i="4"/>
  <c r="I348" i="4" s="1"/>
  <c r="J348" i="4" s="1"/>
  <c r="H347" i="4"/>
  <c r="I347" i="4" s="1"/>
  <c r="J347" i="4" s="1"/>
  <c r="H344" i="4"/>
  <c r="I344" i="4" s="1"/>
  <c r="J344" i="4" s="1"/>
  <c r="H343" i="4"/>
  <c r="I343" i="4" s="1"/>
  <c r="J343" i="4" s="1"/>
  <c r="H342" i="4"/>
  <c r="I342" i="4" s="1"/>
  <c r="J342" i="4" s="1"/>
  <c r="H341" i="4"/>
  <c r="I341" i="4" s="1"/>
  <c r="J341" i="4" s="1"/>
  <c r="H340" i="4"/>
  <c r="I340" i="4" s="1"/>
  <c r="J340" i="4" s="1"/>
  <c r="H339" i="4"/>
  <c r="I339" i="4" s="1"/>
  <c r="J339" i="4" s="1"/>
  <c r="H338" i="4"/>
  <c r="I338" i="4" s="1"/>
  <c r="J338" i="4" s="1"/>
  <c r="H337" i="4"/>
  <c r="I337" i="4" s="1"/>
  <c r="J337" i="4" s="1"/>
  <c r="H335" i="4"/>
  <c r="I335" i="4" s="1"/>
  <c r="J335" i="4" s="1"/>
  <c r="H334" i="4"/>
  <c r="I334" i="4" s="1"/>
  <c r="J334" i="4" s="1"/>
  <c r="H333" i="4"/>
  <c r="I333" i="4" s="1"/>
  <c r="J333" i="4" s="1"/>
  <c r="H332" i="4"/>
  <c r="I332" i="4" s="1"/>
  <c r="J332" i="4" s="1"/>
  <c r="H331" i="4"/>
  <c r="I331" i="4" s="1"/>
  <c r="J331" i="4" s="1"/>
  <c r="H330" i="4"/>
  <c r="I330" i="4" s="1"/>
  <c r="J330" i="4" s="1"/>
  <c r="H329" i="4"/>
  <c r="I329" i="4" s="1"/>
  <c r="J329" i="4" s="1"/>
  <c r="H328" i="4"/>
  <c r="I328" i="4" s="1"/>
  <c r="J328" i="4" s="1"/>
  <c r="H327" i="4"/>
  <c r="I327" i="4" s="1"/>
  <c r="J327" i="4" s="1"/>
  <c r="H326" i="4"/>
  <c r="I326" i="4" s="1"/>
  <c r="J326" i="4" s="1"/>
  <c r="H324" i="4"/>
  <c r="I324" i="4" s="1"/>
  <c r="J324" i="4" s="1"/>
  <c r="H322" i="4"/>
  <c r="I322" i="4" s="1"/>
  <c r="J322" i="4" s="1"/>
  <c r="H321" i="4"/>
  <c r="I321" i="4" s="1"/>
  <c r="J321" i="4" s="1"/>
  <c r="H320" i="4"/>
  <c r="I320" i="4" s="1"/>
  <c r="J320" i="4" s="1"/>
  <c r="H318" i="4"/>
  <c r="I318" i="4" s="1"/>
  <c r="J318" i="4" s="1"/>
  <c r="H317" i="4"/>
  <c r="I317" i="4" s="1"/>
  <c r="J317" i="4" s="1"/>
  <c r="H316" i="4"/>
  <c r="I316" i="4" s="1"/>
  <c r="J316" i="4" s="1"/>
  <c r="H309" i="4"/>
  <c r="I309" i="4" s="1"/>
  <c r="J309" i="4" s="1"/>
  <c r="H308" i="4"/>
  <c r="I308" i="4" s="1"/>
  <c r="J308" i="4" s="1"/>
  <c r="H307" i="4"/>
  <c r="I307" i="4" s="1"/>
  <c r="J307" i="4" s="1"/>
  <c r="H306" i="4"/>
  <c r="I306" i="4" s="1"/>
  <c r="J306" i="4" s="1"/>
  <c r="H304" i="4"/>
  <c r="I304" i="4" s="1"/>
  <c r="J304" i="4" s="1"/>
  <c r="H303" i="4"/>
  <c r="I303" i="4" s="1"/>
  <c r="J303" i="4" s="1"/>
  <c r="F375" i="4"/>
  <c r="H375" i="4" s="1"/>
  <c r="I375" i="4" s="1"/>
  <c r="J375" i="4" s="1"/>
  <c r="F314" i="4"/>
  <c r="H314" i="4" s="1"/>
  <c r="I314" i="4" s="1"/>
  <c r="J314" i="4" s="1"/>
  <c r="F313" i="4"/>
  <c r="H313" i="4" s="1"/>
  <c r="I313" i="4" s="1"/>
  <c r="J313" i="4" s="1"/>
  <c r="F312" i="4"/>
  <c r="H312" i="4" s="1"/>
  <c r="I312" i="4" s="1"/>
  <c r="J312" i="4" s="1"/>
  <c r="F310" i="4"/>
  <c r="H310" i="4" s="1"/>
  <c r="I310" i="4" s="1"/>
  <c r="J310" i="4" s="1"/>
  <c r="F301" i="4"/>
  <c r="H301" i="4" s="1"/>
  <c r="I301" i="4" s="1"/>
  <c r="E301" i="4"/>
  <c r="H298" i="4"/>
  <c r="I298" i="4" s="1"/>
  <c r="J298" i="4" s="1"/>
  <c r="H297" i="4"/>
  <c r="I297" i="4" s="1"/>
  <c r="J297" i="4" s="1"/>
  <c r="H296" i="4"/>
  <c r="I296" i="4" s="1"/>
  <c r="J296" i="4" s="1"/>
  <c r="H295" i="4"/>
  <c r="I295" i="4" s="1"/>
  <c r="J295" i="4" s="1"/>
  <c r="H294" i="4"/>
  <c r="I294" i="4" s="1"/>
  <c r="J294" i="4" s="1"/>
  <c r="H293" i="4"/>
  <c r="I293" i="4" s="1"/>
  <c r="J293" i="4" s="1"/>
  <c r="H292" i="4"/>
  <c r="I292" i="4" s="1"/>
  <c r="J292" i="4" s="1"/>
  <c r="H291" i="4"/>
  <c r="I291" i="4" s="1"/>
  <c r="J291" i="4" s="1"/>
  <c r="H289" i="4"/>
  <c r="I289" i="4" s="1"/>
  <c r="J289" i="4" s="1"/>
  <c r="H288" i="4"/>
  <c r="I288" i="4" s="1"/>
  <c r="J288" i="4" s="1"/>
  <c r="H287" i="4"/>
  <c r="I287" i="4" s="1"/>
  <c r="J287" i="4" s="1"/>
  <c r="H286" i="4"/>
  <c r="I286" i="4" s="1"/>
  <c r="J286" i="4" s="1"/>
  <c r="H285" i="4"/>
  <c r="I285" i="4" s="1"/>
  <c r="J285" i="4" s="1"/>
  <c r="H284" i="4"/>
  <c r="I284" i="4" s="1"/>
  <c r="J284" i="4" s="1"/>
  <c r="H283" i="4"/>
  <c r="I283" i="4" s="1"/>
  <c r="J283" i="4" s="1"/>
  <c r="H282" i="4"/>
  <c r="I282" i="4" s="1"/>
  <c r="J282" i="4" s="1"/>
  <c r="H281" i="4"/>
  <c r="I281" i="4" s="1"/>
  <c r="J281" i="4" s="1"/>
  <c r="H280" i="4"/>
  <c r="I280" i="4" s="1"/>
  <c r="J280" i="4" s="1"/>
  <c r="H279" i="4"/>
  <c r="I279" i="4" s="1"/>
  <c r="J279" i="4" s="1"/>
  <c r="H278" i="4"/>
  <c r="I278" i="4" s="1"/>
  <c r="J278" i="4" s="1"/>
  <c r="H277" i="4"/>
  <c r="I277" i="4" s="1"/>
  <c r="J277" i="4" s="1"/>
  <c r="H276" i="4"/>
  <c r="I276" i="4" s="1"/>
  <c r="J276" i="4" s="1"/>
  <c r="H275" i="4"/>
  <c r="I275" i="4" s="1"/>
  <c r="J275" i="4" s="1"/>
  <c r="H274" i="4"/>
  <c r="I274" i="4" s="1"/>
  <c r="J274" i="4" s="1"/>
  <c r="H273" i="4"/>
  <c r="I273" i="4" s="1"/>
  <c r="J273" i="4" s="1"/>
  <c r="H272" i="4"/>
  <c r="I272" i="4" s="1"/>
  <c r="J272" i="4" s="1"/>
  <c r="H271" i="4"/>
  <c r="I271" i="4" s="1"/>
  <c r="J271" i="4" s="1"/>
  <c r="H270" i="4"/>
  <c r="I270" i="4" s="1"/>
  <c r="J270" i="4" s="1"/>
  <c r="H269" i="4"/>
  <c r="I269" i="4" s="1"/>
  <c r="J269" i="4" s="1"/>
  <c r="H268" i="4"/>
  <c r="I268" i="4" s="1"/>
  <c r="J268" i="4" s="1"/>
  <c r="H267" i="4"/>
  <c r="I267" i="4" s="1"/>
  <c r="J267" i="4" s="1"/>
  <c r="H266" i="4"/>
  <c r="I266" i="4" s="1"/>
  <c r="J266" i="4" s="1"/>
  <c r="H265" i="4"/>
  <c r="I265" i="4" s="1"/>
  <c r="J265" i="4" s="1"/>
  <c r="H264" i="4"/>
  <c r="I264" i="4" s="1"/>
  <c r="J264" i="4" s="1"/>
  <c r="H263" i="4"/>
  <c r="I263" i="4" s="1"/>
  <c r="J263" i="4" s="1"/>
  <c r="H262" i="4"/>
  <c r="I262" i="4" s="1"/>
  <c r="J262" i="4" s="1"/>
  <c r="H261" i="4"/>
  <c r="I261" i="4" s="1"/>
  <c r="J261" i="4" s="1"/>
  <c r="H260" i="4"/>
  <c r="I260" i="4" s="1"/>
  <c r="J260" i="4" s="1"/>
  <c r="H259" i="4"/>
  <c r="I259" i="4" s="1"/>
  <c r="J259" i="4" s="1"/>
  <c r="H258" i="4"/>
  <c r="I258" i="4" s="1"/>
  <c r="J258" i="4" s="1"/>
  <c r="H257" i="4"/>
  <c r="I257" i="4" s="1"/>
  <c r="J257" i="4" s="1"/>
  <c r="H256" i="4"/>
  <c r="I256" i="4" s="1"/>
  <c r="J256" i="4" s="1"/>
  <c r="H255" i="4"/>
  <c r="I255" i="4" s="1"/>
  <c r="J255" i="4" s="1"/>
  <c r="H254" i="4"/>
  <c r="I254" i="4" s="1"/>
  <c r="J254" i="4" s="1"/>
  <c r="H253" i="4"/>
  <c r="I253" i="4" s="1"/>
  <c r="J253" i="4" s="1"/>
  <c r="H252" i="4"/>
  <c r="I252" i="4" s="1"/>
  <c r="J252" i="4" s="1"/>
  <c r="H251" i="4"/>
  <c r="I251" i="4" s="1"/>
  <c r="J251" i="4" s="1"/>
  <c r="H249" i="4"/>
  <c r="I249" i="4" s="1"/>
  <c r="J249" i="4" s="1"/>
  <c r="H248" i="4"/>
  <c r="I248" i="4" s="1"/>
  <c r="J248" i="4" s="1"/>
  <c r="H247" i="4"/>
  <c r="I247" i="4" s="1"/>
  <c r="J247" i="4" s="1"/>
  <c r="H246" i="4"/>
  <c r="I246" i="4" s="1"/>
  <c r="J246" i="4" s="1"/>
  <c r="H245" i="4"/>
  <c r="I245" i="4" s="1"/>
  <c r="J245" i="4" s="1"/>
  <c r="H244" i="4"/>
  <c r="I244" i="4" s="1"/>
  <c r="J244" i="4" s="1"/>
  <c r="H243" i="4"/>
  <c r="I243" i="4" s="1"/>
  <c r="J243" i="4" s="1"/>
  <c r="H242" i="4"/>
  <c r="I242" i="4" s="1"/>
  <c r="J242" i="4" s="1"/>
  <c r="H240" i="4"/>
  <c r="I240" i="4" s="1"/>
  <c r="J240" i="4" s="1"/>
  <c r="H239" i="4"/>
  <c r="I239" i="4" s="1"/>
  <c r="J239" i="4" s="1"/>
  <c r="H238" i="4"/>
  <c r="I238" i="4" s="1"/>
  <c r="J238" i="4" s="1"/>
  <c r="H237" i="4"/>
  <c r="I237" i="4" s="1"/>
  <c r="J237" i="4" s="1"/>
  <c r="H236" i="4"/>
  <c r="I236" i="4" s="1"/>
  <c r="J236" i="4" s="1"/>
  <c r="H235" i="4"/>
  <c r="I235" i="4" s="1"/>
  <c r="J235" i="4" s="1"/>
  <c r="H234" i="4"/>
  <c r="I234" i="4" s="1"/>
  <c r="J234" i="4" s="1"/>
  <c r="H233" i="4"/>
  <c r="I233" i="4" s="1"/>
  <c r="J233" i="4" s="1"/>
  <c r="H232" i="4"/>
  <c r="I232" i="4" s="1"/>
  <c r="J232" i="4" s="1"/>
  <c r="H231" i="4"/>
  <c r="I231" i="4" s="1"/>
  <c r="J231" i="4" s="1"/>
  <c r="H230" i="4"/>
  <c r="I230" i="4" s="1"/>
  <c r="J230" i="4" s="1"/>
  <c r="H228" i="4"/>
  <c r="I228" i="4" s="1"/>
  <c r="J228" i="4" s="1"/>
  <c r="H227" i="4"/>
  <c r="I227" i="4" s="1"/>
  <c r="J227" i="4" s="1"/>
  <c r="H226" i="4"/>
  <c r="I226" i="4" s="1"/>
  <c r="J226" i="4" s="1"/>
  <c r="H225" i="4"/>
  <c r="I225" i="4" s="1"/>
  <c r="J225" i="4" s="1"/>
  <c r="H223" i="4"/>
  <c r="I223" i="4" s="1"/>
  <c r="J223" i="4" s="1"/>
  <c r="H222" i="4"/>
  <c r="I222" i="4" s="1"/>
  <c r="J222" i="4" s="1"/>
  <c r="H221" i="4"/>
  <c r="I221" i="4" s="1"/>
  <c r="J221" i="4" s="1"/>
  <c r="H220" i="4"/>
  <c r="I220" i="4" s="1"/>
  <c r="J220" i="4" s="1"/>
  <c r="H219" i="4"/>
  <c r="I219" i="4" s="1"/>
  <c r="J219" i="4" s="1"/>
  <c r="H217" i="4"/>
  <c r="I217" i="4" s="1"/>
  <c r="J217" i="4" s="1"/>
  <c r="H216" i="4"/>
  <c r="I216" i="4" s="1"/>
  <c r="J216" i="4" s="1"/>
  <c r="H215" i="4"/>
  <c r="I215" i="4" s="1"/>
  <c r="J215" i="4" s="1"/>
  <c r="H214" i="4"/>
  <c r="I214" i="4" s="1"/>
  <c r="J214" i="4" s="1"/>
  <c r="H213" i="4"/>
  <c r="I213" i="4" s="1"/>
  <c r="J213" i="4" s="1"/>
  <c r="H212" i="4"/>
  <c r="I212" i="4" s="1"/>
  <c r="J212" i="4" s="1"/>
  <c r="H206" i="4"/>
  <c r="I206" i="4" s="1"/>
  <c r="J206" i="4" s="1"/>
  <c r="H205" i="4"/>
  <c r="I205" i="4" s="1"/>
  <c r="J205" i="4" s="1"/>
  <c r="H204" i="4"/>
  <c r="I204" i="4" s="1"/>
  <c r="J204" i="4" s="1"/>
  <c r="H202" i="4"/>
  <c r="I202" i="4" s="1"/>
  <c r="J202" i="4" s="1"/>
  <c r="H201" i="4"/>
  <c r="I201" i="4" s="1"/>
  <c r="J201" i="4" s="1"/>
  <c r="H200" i="4"/>
  <c r="I200" i="4" s="1"/>
  <c r="J200" i="4" s="1"/>
  <c r="H199" i="4"/>
  <c r="I199" i="4" s="1"/>
  <c r="J199" i="4" s="1"/>
  <c r="H198" i="4"/>
  <c r="I198" i="4" s="1"/>
  <c r="J198" i="4" s="1"/>
  <c r="H196" i="4"/>
  <c r="I196" i="4" s="1"/>
  <c r="J196" i="4" s="1"/>
  <c r="H195" i="4"/>
  <c r="I195" i="4" s="1"/>
  <c r="J195" i="4" s="1"/>
  <c r="H194" i="4"/>
  <c r="I194" i="4" s="1"/>
  <c r="J194" i="4" s="1"/>
  <c r="H193" i="4"/>
  <c r="I193" i="4" s="1"/>
  <c r="J193" i="4" s="1"/>
  <c r="H192" i="4"/>
  <c r="I192" i="4" s="1"/>
  <c r="J192" i="4" s="1"/>
  <c r="H191" i="4"/>
  <c r="I191" i="4" s="1"/>
  <c r="J191" i="4" s="1"/>
  <c r="H190" i="4"/>
  <c r="I190" i="4" s="1"/>
  <c r="J190" i="4" s="1"/>
  <c r="H189" i="4"/>
  <c r="I189" i="4" s="1"/>
  <c r="J189" i="4" s="1"/>
  <c r="H188" i="4"/>
  <c r="I188" i="4" s="1"/>
  <c r="J188" i="4" s="1"/>
  <c r="H187" i="4"/>
  <c r="I187" i="4" s="1"/>
  <c r="J187" i="4" s="1"/>
  <c r="H186" i="4"/>
  <c r="I186" i="4" s="1"/>
  <c r="J186" i="4" s="1"/>
  <c r="H185" i="4"/>
  <c r="I185" i="4" s="1"/>
  <c r="J185" i="4" s="1"/>
  <c r="H184" i="4"/>
  <c r="I184" i="4" s="1"/>
  <c r="J184" i="4" s="1"/>
  <c r="H183" i="4"/>
  <c r="I183" i="4" s="1"/>
  <c r="J183" i="4" s="1"/>
  <c r="H182" i="4"/>
  <c r="I182" i="4" s="1"/>
  <c r="J182" i="4" s="1"/>
  <c r="H181" i="4"/>
  <c r="I181" i="4" s="1"/>
  <c r="J181" i="4" s="1"/>
  <c r="H180" i="4"/>
  <c r="I180" i="4" s="1"/>
  <c r="J180" i="4" s="1"/>
  <c r="F210" i="4"/>
  <c r="H210" i="4" s="1"/>
  <c r="I210" i="4" s="1"/>
  <c r="J210" i="4" s="1"/>
  <c r="F209" i="4"/>
  <c r="H209" i="4" s="1"/>
  <c r="I209" i="4" s="1"/>
  <c r="J209" i="4" s="1"/>
  <c r="F207" i="4"/>
  <c r="H207" i="4" s="1"/>
  <c r="I207" i="4" s="1"/>
  <c r="J207" i="4" s="1"/>
  <c r="J301" i="4" l="1"/>
  <c r="H148" i="4"/>
  <c r="I148" i="4" s="1"/>
  <c r="J148" i="4" s="1"/>
  <c r="H147" i="4"/>
  <c r="I147" i="4" s="1"/>
  <c r="J147" i="4" s="1"/>
  <c r="H146" i="4"/>
  <c r="I146" i="4" s="1"/>
  <c r="J146" i="4" s="1"/>
  <c r="H145" i="4"/>
  <c r="I145" i="4" s="1"/>
  <c r="J145" i="4" s="1"/>
  <c r="H144" i="4"/>
  <c r="I144" i="4" s="1"/>
  <c r="J144" i="4" s="1"/>
  <c r="H143" i="4"/>
  <c r="I143" i="4" s="1"/>
  <c r="J143" i="4" s="1"/>
  <c r="H142" i="4"/>
  <c r="I142" i="4" s="1"/>
  <c r="J142" i="4" s="1"/>
  <c r="H136" i="4"/>
  <c r="I136" i="4" s="1"/>
  <c r="J136" i="4" s="1"/>
  <c r="H135" i="4"/>
  <c r="I135" i="4" s="1"/>
  <c r="J135" i="4" s="1"/>
  <c r="H134" i="4"/>
  <c r="I134" i="4" s="1"/>
  <c r="J134" i="4" s="1"/>
  <c r="H133" i="4"/>
  <c r="I133" i="4" s="1"/>
  <c r="J133" i="4" s="1"/>
  <c r="H132" i="4"/>
  <c r="I132" i="4" s="1"/>
  <c r="J132" i="4" s="1"/>
  <c r="H129" i="4"/>
  <c r="I129" i="4" s="1"/>
  <c r="J129" i="4" s="1"/>
  <c r="H128" i="4"/>
  <c r="I128" i="4" s="1"/>
  <c r="J128" i="4" s="1"/>
  <c r="H124" i="4"/>
  <c r="I124" i="4" s="1"/>
  <c r="J124" i="4" s="1"/>
  <c r="H123" i="4"/>
  <c r="I123" i="4" s="1"/>
  <c r="J123" i="4" s="1"/>
  <c r="H122" i="4"/>
  <c r="I122" i="4" s="1"/>
  <c r="J122" i="4" s="1"/>
  <c r="H121" i="4"/>
  <c r="I121" i="4" s="1"/>
  <c r="J121" i="4" s="1"/>
  <c r="H120" i="4"/>
  <c r="I120" i="4" s="1"/>
  <c r="J120" i="4" s="1"/>
  <c r="H119" i="4"/>
  <c r="I119" i="4" s="1"/>
  <c r="J119" i="4" s="1"/>
  <c r="H118" i="4"/>
  <c r="I118" i="4" s="1"/>
  <c r="J118" i="4" s="1"/>
  <c r="H117" i="4"/>
  <c r="I117" i="4" s="1"/>
  <c r="J117" i="4" s="1"/>
  <c r="H116" i="4"/>
  <c r="I116" i="4" s="1"/>
  <c r="J116" i="4" s="1"/>
  <c r="H115" i="4"/>
  <c r="I115" i="4" s="1"/>
  <c r="J115" i="4" s="1"/>
  <c r="H114" i="4"/>
  <c r="I114" i="4" s="1"/>
  <c r="J114" i="4" s="1"/>
  <c r="H113" i="4"/>
  <c r="I113" i="4" s="1"/>
  <c r="J113" i="4" s="1"/>
  <c r="H112" i="4"/>
  <c r="I112" i="4" s="1"/>
  <c r="J112" i="4" s="1"/>
  <c r="H111" i="4"/>
  <c r="I111" i="4" s="1"/>
  <c r="J111" i="4" s="1"/>
  <c r="H110" i="4"/>
  <c r="I110" i="4" s="1"/>
  <c r="J110" i="4" s="1"/>
  <c r="H109" i="4"/>
  <c r="I109" i="4" s="1"/>
  <c r="J109" i="4" s="1"/>
  <c r="H108" i="4"/>
  <c r="I108" i="4" s="1"/>
  <c r="J108" i="4" s="1"/>
  <c r="H107" i="4"/>
  <c r="I107" i="4" s="1"/>
  <c r="J107" i="4" s="1"/>
  <c r="H105" i="4"/>
  <c r="I105" i="4" s="1"/>
  <c r="J105" i="4" s="1"/>
  <c r="H104" i="4"/>
  <c r="I104" i="4" s="1"/>
  <c r="J104" i="4" s="1"/>
  <c r="H103" i="4"/>
  <c r="I103" i="4" s="1"/>
  <c r="J103" i="4" s="1"/>
  <c r="H102" i="4"/>
  <c r="I102" i="4" s="1"/>
  <c r="J102" i="4" s="1"/>
  <c r="F141" i="4"/>
  <c r="H141" i="4" s="1"/>
  <c r="I141" i="4" s="1"/>
  <c r="J141" i="4" s="1"/>
  <c r="F140" i="4"/>
  <c r="H140" i="4" s="1"/>
  <c r="I140" i="4" s="1"/>
  <c r="J140" i="4" s="1"/>
  <c r="F137" i="4"/>
  <c r="H137" i="4" s="1"/>
  <c r="I137" i="4" s="1"/>
  <c r="E137" i="4"/>
  <c r="F127" i="4"/>
  <c r="H127" i="4" s="1"/>
  <c r="I127" i="4" s="1"/>
  <c r="E127" i="4"/>
  <c r="F126" i="4"/>
  <c r="H126" i="4" s="1"/>
  <c r="I126" i="4" s="1"/>
  <c r="E126" i="4"/>
  <c r="F125" i="4"/>
  <c r="H125" i="4" s="1"/>
  <c r="I125" i="4" s="1"/>
  <c r="J125" i="4" s="1"/>
  <c r="J137" i="4" l="1"/>
  <c r="J127" i="4"/>
  <c r="J126" i="4"/>
  <c r="H378" i="4"/>
  <c r="I37" i="3" l="1"/>
  <c r="I34" i="3"/>
  <c r="I33" i="3" s="1"/>
  <c r="I30" i="3"/>
  <c r="I29" i="3" s="1"/>
  <c r="I26" i="3"/>
  <c r="I25" i="3" s="1"/>
  <c r="I9" i="3"/>
  <c r="I18" i="3"/>
  <c r="I17" i="3" s="1"/>
  <c r="I15" i="3"/>
  <c r="I14" i="3" s="1"/>
  <c r="I12" i="3"/>
  <c r="I11" i="3" s="1"/>
  <c r="I53" i="3"/>
  <c r="I602" i="3"/>
  <c r="I603" i="3"/>
  <c r="I604" i="3"/>
  <c r="I606" i="3"/>
  <c r="I607" i="3"/>
  <c r="I608" i="3"/>
  <c r="I590" i="3"/>
  <c r="I589" i="3"/>
  <c r="I588" i="3"/>
  <c r="I586" i="3"/>
  <c r="I584" i="3"/>
  <c r="I572" i="3"/>
  <c r="I566" i="3"/>
  <c r="I600" i="3"/>
  <c r="I564" i="3"/>
  <c r="I582" i="3"/>
  <c r="I424" i="3"/>
  <c r="I328" i="3"/>
  <c r="I291" i="3"/>
  <c r="I274" i="3"/>
  <c r="I231" i="3"/>
  <c r="I207" i="3"/>
  <c r="I166" i="3"/>
  <c r="H450" i="4"/>
  <c r="I450" i="4" s="1"/>
  <c r="J450" i="4" s="1"/>
  <c r="I1015" i="3"/>
  <c r="I1013" i="3" s="1"/>
  <c r="H392" i="4"/>
  <c r="I392" i="4" s="1"/>
  <c r="J392" i="4" s="1"/>
  <c r="I839" i="3"/>
  <c r="I838" i="3" s="1"/>
  <c r="H12" i="4"/>
  <c r="I12" i="4" s="1"/>
  <c r="J12" i="4" s="1"/>
  <c r="H11" i="4"/>
  <c r="I11" i="4" s="1"/>
  <c r="J11" i="4" s="1"/>
  <c r="I49" i="3" l="1"/>
  <c r="I48" i="3" s="1"/>
  <c r="H419" i="4"/>
  <c r="H415" i="4"/>
  <c r="H414" i="4"/>
  <c r="H410" i="4"/>
  <c r="H429" i="4"/>
  <c r="H428" i="4"/>
  <c r="H426" i="4"/>
  <c r="H425" i="4"/>
  <c r="H423" i="4"/>
  <c r="H422" i="4"/>
  <c r="H435" i="4"/>
  <c r="H434" i="4"/>
  <c r="H433" i="4"/>
  <c r="H432" i="4"/>
  <c r="H439" i="4"/>
  <c r="H438" i="4"/>
  <c r="H437" i="4"/>
  <c r="H442" i="4"/>
  <c r="H441" i="4"/>
  <c r="H445" i="4"/>
  <c r="H444" i="4"/>
  <c r="H448" i="4"/>
  <c r="H447" i="4"/>
  <c r="H455" i="4"/>
  <c r="H454" i="4"/>
  <c r="H453" i="4"/>
  <c r="H458" i="4"/>
  <c r="H457" i="4"/>
  <c r="H463" i="4"/>
  <c r="H462" i="4"/>
  <c r="H461" i="4"/>
  <c r="H460" i="4"/>
  <c r="H465" i="4"/>
  <c r="H468" i="4"/>
  <c r="H467" i="4"/>
  <c r="H466" i="4"/>
  <c r="H471" i="4"/>
  <c r="H470" i="4"/>
  <c r="H479" i="4"/>
  <c r="H477" i="4"/>
  <c r="H476" i="4"/>
  <c r="H475" i="4"/>
  <c r="H474" i="4"/>
  <c r="H473" i="4"/>
  <c r="H481" i="4"/>
  <c r="H396" i="4"/>
  <c r="H395" i="4"/>
  <c r="H394" i="4"/>
  <c r="H389" i="4"/>
  <c r="H387" i="4"/>
  <c r="H385" i="4"/>
  <c r="H384" i="4"/>
  <c r="H383" i="4"/>
  <c r="H380" i="4"/>
  <c r="H83" i="4"/>
  <c r="H82" i="4"/>
  <c r="H81" i="4"/>
  <c r="H77" i="4"/>
  <c r="H41" i="4"/>
  <c r="H40" i="4"/>
  <c r="H39" i="4"/>
  <c r="H38" i="4"/>
  <c r="H37" i="4"/>
  <c r="H34" i="4"/>
  <c r="H26" i="4"/>
  <c r="H25" i="4"/>
  <c r="H24" i="4"/>
  <c r="H23" i="4"/>
  <c r="H20" i="4"/>
  <c r="H10" i="4"/>
  <c r="H9" i="4"/>
  <c r="H48" i="4" l="1"/>
  <c r="I471" i="4" l="1"/>
  <c r="J471" i="4" s="1"/>
  <c r="I470" i="4"/>
  <c r="J470" i="4" s="1"/>
  <c r="I468" i="4"/>
  <c r="J468" i="4" s="1"/>
  <c r="I467" i="4"/>
  <c r="J467" i="4" s="1"/>
  <c r="I466" i="4"/>
  <c r="J466" i="4" s="1"/>
  <c r="I465" i="4"/>
  <c r="J465" i="4" s="1"/>
  <c r="I463" i="4"/>
  <c r="J463" i="4" s="1"/>
  <c r="I462" i="4"/>
  <c r="J462" i="4" s="1"/>
  <c r="I461" i="4"/>
  <c r="J461" i="4" s="1"/>
  <c r="I460" i="4"/>
  <c r="J460" i="4" s="1"/>
  <c r="I458" i="4"/>
  <c r="J458" i="4" s="1"/>
  <c r="I457" i="4"/>
  <c r="J457" i="4" s="1"/>
  <c r="I455" i="4"/>
  <c r="J455" i="4" s="1"/>
  <c r="E1080" i="3"/>
  <c r="I1080" i="3" s="1"/>
  <c r="E1079" i="3"/>
  <c r="I1079" i="3" s="1"/>
  <c r="E1078" i="3"/>
  <c r="I1078" i="3" s="1"/>
  <c r="E1077" i="3"/>
  <c r="I1077" i="3" s="1"/>
  <c r="E1076" i="3"/>
  <c r="I429" i="4"/>
  <c r="J429" i="4" s="1"/>
  <c r="E943" i="3"/>
  <c r="I943" i="3" s="1"/>
  <c r="E942" i="3"/>
  <c r="I942" i="3" s="1"/>
  <c r="E941" i="3"/>
  <c r="I941" i="3" s="1"/>
  <c r="E947" i="3"/>
  <c r="I947" i="3" s="1"/>
  <c r="I945" i="3" s="1"/>
  <c r="I428" i="4"/>
  <c r="J428" i="4" s="1"/>
  <c r="I1071" i="3"/>
  <c r="I1069" i="3" s="1"/>
  <c r="I1067" i="3"/>
  <c r="I1065" i="3" s="1"/>
  <c r="I1059" i="3"/>
  <c r="I1057" i="3" s="1"/>
  <c r="I1054" i="3"/>
  <c r="I1037" i="3"/>
  <c r="I1035" i="3" s="1"/>
  <c r="I1050" i="3"/>
  <c r="I1048" i="3" s="1"/>
  <c r="I1033" i="3"/>
  <c r="I1031" i="3" s="1"/>
  <c r="I1046" i="3"/>
  <c r="I1044" i="3" s="1"/>
  <c r="H478" i="4"/>
  <c r="H407" i="4"/>
  <c r="H406" i="4"/>
  <c r="H405" i="4"/>
  <c r="H404" i="4"/>
  <c r="H402" i="4"/>
  <c r="H75" i="4"/>
  <c r="H73" i="4"/>
  <c r="H412" i="4"/>
  <c r="I415" i="4"/>
  <c r="J415" i="4" s="1"/>
  <c r="H71" i="4"/>
  <c r="H70" i="4"/>
  <c r="I719" i="3"/>
  <c r="I1028" i="3"/>
  <c r="I1026" i="3" s="1"/>
  <c r="I1020" i="3"/>
  <c r="I1018" i="3" s="1"/>
  <c r="I1063" i="3"/>
  <c r="I1061" i="3" s="1"/>
  <c r="I1024" i="3"/>
  <c r="I1022" i="3" s="1"/>
  <c r="I448" i="4"/>
  <c r="J448" i="4" s="1"/>
  <c r="I442" i="4"/>
  <c r="J442" i="4" s="1"/>
  <c r="I432" i="4"/>
  <c r="J432" i="4" s="1"/>
  <c r="I437" i="4"/>
  <c r="J437" i="4" s="1"/>
  <c r="I445" i="4"/>
  <c r="J445" i="4" s="1"/>
  <c r="I989" i="3"/>
  <c r="I987" i="3" s="1"/>
  <c r="I967" i="3"/>
  <c r="I966" i="3"/>
  <c r="I435" i="4"/>
  <c r="J435" i="4" s="1"/>
  <c r="H399" i="4" l="1"/>
  <c r="H417" i="4"/>
  <c r="H400" i="4"/>
  <c r="I939" i="3"/>
  <c r="I1052" i="3"/>
  <c r="I964" i="3"/>
  <c r="I77" i="4" l="1"/>
  <c r="E77" i="4"/>
  <c r="J77" i="4" l="1"/>
  <c r="I778" i="3" l="1"/>
  <c r="I777" i="3" s="1"/>
  <c r="I10" i="4" l="1"/>
  <c r="J10" i="4" s="1"/>
  <c r="H31" i="4" l="1"/>
  <c r="I843" i="3"/>
  <c r="I846" i="3"/>
  <c r="I845" i="3"/>
  <c r="I1129" i="3" l="1"/>
  <c r="I1130" i="3"/>
  <c r="I1132" i="3"/>
  <c r="I1133" i="3"/>
  <c r="I1137" i="3"/>
  <c r="F1137" i="3"/>
  <c r="I1136" i="3"/>
  <c r="I1135" i="3"/>
  <c r="I1122" i="3"/>
  <c r="F1126" i="3"/>
  <c r="I1126" i="3"/>
  <c r="I1125" i="3"/>
  <c r="F1125" i="3"/>
  <c r="I1124" i="3"/>
  <c r="I396" i="4"/>
  <c r="J396" i="4" s="1"/>
  <c r="I395" i="4"/>
  <c r="J395" i="4" s="1"/>
  <c r="D34" i="43" l="1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H18" i="4"/>
  <c r="I1134" i="3"/>
  <c r="I1131" i="3"/>
  <c r="I1128" i="3"/>
  <c r="I1123" i="3"/>
  <c r="I1121" i="3"/>
  <c r="I1119" i="3"/>
  <c r="I1118" i="3"/>
  <c r="I1113" i="3"/>
  <c r="I1111" i="3" s="1"/>
  <c r="I1109" i="3"/>
  <c r="I1107" i="3" s="1"/>
  <c r="I1105" i="3"/>
  <c r="I1103" i="3" s="1"/>
  <c r="I1101" i="3"/>
  <c r="I1099" i="3" s="1"/>
  <c r="I1097" i="3"/>
  <c r="I1095" i="3" s="1"/>
  <c r="I1093" i="3"/>
  <c r="I1091" i="3" s="1"/>
  <c r="I1089" i="3"/>
  <c r="I1087" i="3" s="1"/>
  <c r="I1042" i="3"/>
  <c r="I1040" i="3" s="1"/>
  <c r="I1084" i="3"/>
  <c r="I1076" i="3"/>
  <c r="I999" i="3"/>
  <c r="I998" i="3"/>
  <c r="D980" i="3"/>
  <c r="I980" i="3" s="1"/>
  <c r="I978" i="3" s="1"/>
  <c r="I1010" i="3"/>
  <c r="I1009" i="3"/>
  <c r="I962" i="3"/>
  <c r="I960" i="3" s="1"/>
  <c r="I958" i="3"/>
  <c r="I956" i="3" s="1"/>
  <c r="I1005" i="3"/>
  <c r="I1004" i="3"/>
  <c r="I985" i="3"/>
  <c r="I983" i="3" s="1"/>
  <c r="I954" i="3"/>
  <c r="I953" i="3"/>
  <c r="I994" i="3"/>
  <c r="I992" i="3" s="1"/>
  <c r="I976" i="3"/>
  <c r="I974" i="3" s="1"/>
  <c r="I972" i="3"/>
  <c r="I970" i="3" s="1"/>
  <c r="I936" i="3"/>
  <c r="I934" i="3" s="1"/>
  <c r="I932" i="3"/>
  <c r="I930" i="3" s="1"/>
  <c r="I927" i="3"/>
  <c r="I925" i="3" s="1"/>
  <c r="I923" i="3"/>
  <c r="I922" i="3"/>
  <c r="I916" i="3"/>
  <c r="I915" i="3"/>
  <c r="I910" i="3"/>
  <c r="I908" i="3"/>
  <c r="I903" i="3"/>
  <c r="I901" i="3"/>
  <c r="I897" i="3"/>
  <c r="I895" i="3" s="1"/>
  <c r="I892" i="3"/>
  <c r="I891" i="3"/>
  <c r="I889" i="3"/>
  <c r="I888" i="3"/>
  <c r="I883" i="3"/>
  <c r="I881" i="3" s="1"/>
  <c r="I877" i="3"/>
  <c r="I875" i="3" s="1"/>
  <c r="I873" i="3"/>
  <c r="I871" i="3" s="1"/>
  <c r="I869" i="3"/>
  <c r="I867" i="3" s="1"/>
  <c r="I865" i="3"/>
  <c r="I863" i="3" s="1"/>
  <c r="I860" i="3"/>
  <c r="I858" i="3" s="1"/>
  <c r="I855" i="3"/>
  <c r="I853" i="3" s="1"/>
  <c r="I851" i="3"/>
  <c r="I849" i="3" s="1"/>
  <c r="I835" i="3"/>
  <c r="I834" i="3" s="1"/>
  <c r="I831" i="3"/>
  <c r="I829" i="3" s="1"/>
  <c r="I826" i="3"/>
  <c r="I825" i="3"/>
  <c r="I820" i="3"/>
  <c r="I819" i="3"/>
  <c r="F815" i="3"/>
  <c r="I815" i="3" s="1"/>
  <c r="F814" i="3"/>
  <c r="I814" i="3" s="1"/>
  <c r="I813" i="3"/>
  <c r="I812" i="3"/>
  <c r="F811" i="3"/>
  <c r="I811" i="3" s="1"/>
  <c r="F809" i="3"/>
  <c r="I809" i="3" s="1"/>
  <c r="F808" i="3"/>
  <c r="I808" i="3" s="1"/>
  <c r="I807" i="3"/>
  <c r="I806" i="3"/>
  <c r="I805" i="3"/>
  <c r="I804" i="3"/>
  <c r="I803" i="3"/>
  <c r="F801" i="3"/>
  <c r="I801" i="3" s="1"/>
  <c r="F800" i="3"/>
  <c r="I800" i="3" s="1"/>
  <c r="I796" i="3"/>
  <c r="I794" i="3"/>
  <c r="I788" i="3"/>
  <c r="I786" i="3"/>
  <c r="I781" i="3"/>
  <c r="I780" i="3" s="1"/>
  <c r="I775" i="3"/>
  <c r="I774" i="3" s="1"/>
  <c r="I770" i="3"/>
  <c r="I768" i="3" s="1"/>
  <c r="I766" i="3"/>
  <c r="I765" i="3"/>
  <c r="I763" i="3"/>
  <c r="I762" i="3"/>
  <c r="I758" i="3"/>
  <c r="I757" i="3"/>
  <c r="I755" i="3"/>
  <c r="I754" i="3"/>
  <c r="I749" i="3"/>
  <c r="I748" i="3"/>
  <c r="I747" i="3"/>
  <c r="I745" i="3"/>
  <c r="I744" i="3"/>
  <c r="I743" i="3"/>
  <c r="I739" i="3"/>
  <c r="I738" i="3"/>
  <c r="I736" i="3"/>
  <c r="I735" i="3"/>
  <c r="I731" i="3"/>
  <c r="I730" i="3"/>
  <c r="I728" i="3"/>
  <c r="I727" i="3"/>
  <c r="D721" i="3"/>
  <c r="I721" i="3" s="1"/>
  <c r="D718" i="3"/>
  <c r="I718" i="3" s="1"/>
  <c r="I714" i="3"/>
  <c r="I712" i="3"/>
  <c r="D708" i="3"/>
  <c r="I708" i="3" s="1"/>
  <c r="D706" i="3"/>
  <c r="I706" i="3" s="1"/>
  <c r="I702" i="3"/>
  <c r="I700" i="3" s="1"/>
  <c r="I697" i="3"/>
  <c r="I696" i="3"/>
  <c r="I694" i="3"/>
  <c r="I693" i="3"/>
  <c r="I692" i="3"/>
  <c r="I688" i="3"/>
  <c r="I687" i="3"/>
  <c r="I685" i="3"/>
  <c r="I684" i="3"/>
  <c r="I683" i="3"/>
  <c r="I679" i="3"/>
  <c r="I678" i="3"/>
  <c r="I677" i="3"/>
  <c r="I675" i="3"/>
  <c r="I674" i="3"/>
  <c r="I673" i="3"/>
  <c r="I669" i="3"/>
  <c r="I668" i="3"/>
  <c r="I666" i="3"/>
  <c r="I665" i="3"/>
  <c r="I661" i="3"/>
  <c r="I659" i="3" s="1"/>
  <c r="I656" i="3"/>
  <c r="I654" i="3"/>
  <c r="I649" i="3"/>
  <c r="I648" i="3"/>
  <c r="I646" i="3"/>
  <c r="I645" i="3"/>
  <c r="I641" i="3"/>
  <c r="I639" i="3"/>
  <c r="I650" i="3"/>
  <c r="I635" i="3"/>
  <c r="I629" i="3"/>
  <c r="I628" i="3" s="1"/>
  <c r="I626" i="3"/>
  <c r="I625" i="3" s="1"/>
  <c r="I621" i="3"/>
  <c r="I619" i="3" s="1"/>
  <c r="I616" i="3"/>
  <c r="I614" i="3"/>
  <c r="I599" i="3"/>
  <c r="I598" i="3"/>
  <c r="I597" i="3"/>
  <c r="E596" i="3"/>
  <c r="I596" i="3" s="1"/>
  <c r="I595" i="3"/>
  <c r="I594" i="3"/>
  <c r="I585" i="3"/>
  <c r="I581" i="3"/>
  <c r="I580" i="3"/>
  <c r="I579" i="3"/>
  <c r="E578" i="3"/>
  <c r="I578" i="3" s="1"/>
  <c r="I577" i="3"/>
  <c r="I576" i="3"/>
  <c r="I571" i="3"/>
  <c r="I570" i="3"/>
  <c r="I569" i="3"/>
  <c r="I568" i="3"/>
  <c r="I567" i="3"/>
  <c r="I563" i="3"/>
  <c r="I562" i="3"/>
  <c r="I561" i="3"/>
  <c r="E560" i="3"/>
  <c r="I560" i="3" s="1"/>
  <c r="I559" i="3"/>
  <c r="I558" i="3"/>
  <c r="I553" i="3"/>
  <c r="I551" i="3" s="1"/>
  <c r="H549" i="3"/>
  <c r="I549" i="3" s="1"/>
  <c r="H548" i="3"/>
  <c r="I548" i="3" s="1"/>
  <c r="H547" i="3"/>
  <c r="I547" i="3" s="1"/>
  <c r="E546" i="3"/>
  <c r="I546" i="3" s="1"/>
  <c r="F545" i="3"/>
  <c r="E545" i="3"/>
  <c r="F544" i="3"/>
  <c r="E544" i="3"/>
  <c r="E543" i="3"/>
  <c r="I543" i="3" s="1"/>
  <c r="H541" i="3"/>
  <c r="I541" i="3" s="1"/>
  <c r="H540" i="3"/>
  <c r="I540" i="3" s="1"/>
  <c r="H539" i="3"/>
  <c r="I539" i="3" s="1"/>
  <c r="F538" i="3"/>
  <c r="E538" i="3"/>
  <c r="E537" i="3"/>
  <c r="I537" i="3" s="1"/>
  <c r="F536" i="3"/>
  <c r="E536" i="3"/>
  <c r="E535" i="3"/>
  <c r="I535" i="3" s="1"/>
  <c r="F534" i="3"/>
  <c r="E534" i="3"/>
  <c r="H533" i="3"/>
  <c r="I533" i="3" s="1"/>
  <c r="F531" i="3"/>
  <c r="E531" i="3"/>
  <c r="I530" i="3"/>
  <c r="E530" i="3"/>
  <c r="F528" i="3"/>
  <c r="E528" i="3"/>
  <c r="F527" i="3"/>
  <c r="E527" i="3"/>
  <c r="F526" i="3"/>
  <c r="E526" i="3"/>
  <c r="F525" i="3"/>
  <c r="E525" i="3"/>
  <c r="F524" i="3"/>
  <c r="E524" i="3"/>
  <c r="F523" i="3"/>
  <c r="E523" i="3"/>
  <c r="F522" i="3"/>
  <c r="E522" i="3"/>
  <c r="H518" i="3"/>
  <c r="I518" i="3" s="1"/>
  <c r="H517" i="3"/>
  <c r="I517" i="3" s="1"/>
  <c r="H516" i="3"/>
  <c r="I516" i="3" s="1"/>
  <c r="E515" i="3"/>
  <c r="I515" i="3" s="1"/>
  <c r="F514" i="3"/>
  <c r="E514" i="3"/>
  <c r="F513" i="3"/>
  <c r="E513" i="3"/>
  <c r="E512" i="3"/>
  <c r="I512" i="3" s="1"/>
  <c r="H510" i="3"/>
  <c r="I510" i="3" s="1"/>
  <c r="H509" i="3"/>
  <c r="I509" i="3" s="1"/>
  <c r="H508" i="3"/>
  <c r="I508" i="3" s="1"/>
  <c r="F507" i="3"/>
  <c r="E507" i="3"/>
  <c r="E506" i="3"/>
  <c r="I506" i="3" s="1"/>
  <c r="F505" i="3"/>
  <c r="E505" i="3"/>
  <c r="E504" i="3"/>
  <c r="I504" i="3" s="1"/>
  <c r="F503" i="3"/>
  <c r="E503" i="3"/>
  <c r="H502" i="3"/>
  <c r="I502" i="3" s="1"/>
  <c r="F500" i="3"/>
  <c r="E500" i="3"/>
  <c r="I499" i="3"/>
  <c r="E499" i="3"/>
  <c r="F497" i="3"/>
  <c r="E497" i="3"/>
  <c r="F496" i="3"/>
  <c r="E496" i="3"/>
  <c r="F495" i="3"/>
  <c r="E495" i="3"/>
  <c r="F494" i="3"/>
  <c r="E494" i="3"/>
  <c r="F493" i="3"/>
  <c r="E493" i="3"/>
  <c r="F492" i="3"/>
  <c r="E492" i="3"/>
  <c r="F491" i="3"/>
  <c r="E491" i="3"/>
  <c r="H487" i="3"/>
  <c r="I487" i="3" s="1"/>
  <c r="H486" i="3"/>
  <c r="I486" i="3" s="1"/>
  <c r="H485" i="3"/>
  <c r="I485" i="3" s="1"/>
  <c r="E484" i="3"/>
  <c r="I484" i="3" s="1"/>
  <c r="F483" i="3"/>
  <c r="E483" i="3"/>
  <c r="F482" i="3"/>
  <c r="E482" i="3"/>
  <c r="E481" i="3"/>
  <c r="I481" i="3" s="1"/>
  <c r="H479" i="3"/>
  <c r="I479" i="3" s="1"/>
  <c r="H478" i="3"/>
  <c r="I478" i="3" s="1"/>
  <c r="H477" i="3"/>
  <c r="I477" i="3" s="1"/>
  <c r="F476" i="3"/>
  <c r="E476" i="3"/>
  <c r="E475" i="3"/>
  <c r="I475" i="3" s="1"/>
  <c r="F474" i="3"/>
  <c r="E474" i="3"/>
  <c r="E473" i="3"/>
  <c r="I473" i="3" s="1"/>
  <c r="F472" i="3"/>
  <c r="E472" i="3"/>
  <c r="H471" i="3"/>
  <c r="I471" i="3" s="1"/>
  <c r="F469" i="3"/>
  <c r="E469" i="3"/>
  <c r="I468" i="3"/>
  <c r="E468" i="3"/>
  <c r="F466" i="3"/>
  <c r="E466" i="3"/>
  <c r="F465" i="3"/>
  <c r="E465" i="3"/>
  <c r="F464" i="3"/>
  <c r="E464" i="3"/>
  <c r="F463" i="3"/>
  <c r="E463" i="3"/>
  <c r="F462" i="3"/>
  <c r="E462" i="3"/>
  <c r="F461" i="3"/>
  <c r="E461" i="3"/>
  <c r="F460" i="3"/>
  <c r="E460" i="3"/>
  <c r="I454" i="3"/>
  <c r="I453" i="3"/>
  <c r="I452" i="3"/>
  <c r="I451" i="3"/>
  <c r="I450" i="3"/>
  <c r="I448" i="3"/>
  <c r="I447" i="3"/>
  <c r="I446" i="3"/>
  <c r="I445" i="3"/>
  <c r="I444" i="3"/>
  <c r="I442" i="3"/>
  <c r="I441" i="3"/>
  <c r="I440" i="3"/>
  <c r="I439" i="3"/>
  <c r="I438" i="3"/>
  <c r="I437" i="3"/>
  <c r="I436" i="3"/>
  <c r="I432" i="3"/>
  <c r="I431" i="3"/>
  <c r="I430" i="3"/>
  <c r="I428" i="3"/>
  <c r="I427" i="3"/>
  <c r="I426" i="3"/>
  <c r="I423" i="3"/>
  <c r="I422" i="3"/>
  <c r="I421" i="3"/>
  <c r="E420" i="3"/>
  <c r="I420" i="3" s="1"/>
  <c r="I419" i="3"/>
  <c r="I418" i="3"/>
  <c r="I414" i="3"/>
  <c r="I412" i="3"/>
  <c r="I410" i="3"/>
  <c r="I409" i="3"/>
  <c r="I403" i="3"/>
  <c r="I401" i="3"/>
  <c r="I399" i="3"/>
  <c r="I398" i="3"/>
  <c r="I396" i="3"/>
  <c r="I395" i="3"/>
  <c r="I394" i="3"/>
  <c r="I393" i="3"/>
  <c r="I392" i="3"/>
  <c r="I388" i="3"/>
  <c r="I387" i="3"/>
  <c r="I385" i="3"/>
  <c r="I384" i="3"/>
  <c r="I380" i="3"/>
  <c r="I378" i="3" s="1"/>
  <c r="I376" i="3"/>
  <c r="I374" i="3"/>
  <c r="I372" i="3"/>
  <c r="I371" i="3"/>
  <c r="I370" i="3"/>
  <c r="I369" i="3"/>
  <c r="I368" i="3"/>
  <c r="I364" i="3"/>
  <c r="I362" i="3" s="1"/>
  <c r="E358" i="3"/>
  <c r="I358" i="3" s="1"/>
  <c r="E357" i="3"/>
  <c r="I357" i="3" s="1"/>
  <c r="E356" i="3"/>
  <c r="I356" i="3" s="1"/>
  <c r="E354" i="3"/>
  <c r="I354" i="3" s="1"/>
  <c r="E353" i="3"/>
  <c r="I353" i="3" s="1"/>
  <c r="E352" i="3"/>
  <c r="I352" i="3" s="1"/>
  <c r="I346" i="3"/>
  <c r="I344" i="3" s="1"/>
  <c r="I341" i="3"/>
  <c r="E341" i="3"/>
  <c r="I339" i="3"/>
  <c r="E339" i="3"/>
  <c r="F337" i="3"/>
  <c r="I337" i="3" s="1"/>
  <c r="I336" i="3"/>
  <c r="I335" i="3"/>
  <c r="E335" i="3"/>
  <c r="I334" i="3"/>
  <c r="I333" i="3"/>
  <c r="E333" i="3"/>
  <c r="I332" i="3"/>
  <c r="F331" i="3"/>
  <c r="I331" i="3" s="1"/>
  <c r="E331" i="3"/>
  <c r="F330" i="3"/>
  <c r="I330" i="3" s="1"/>
  <c r="E324" i="3"/>
  <c r="I324" i="3" s="1"/>
  <c r="E323" i="3"/>
  <c r="I323" i="3" s="1"/>
  <c r="E322" i="3"/>
  <c r="I322" i="3" s="1"/>
  <c r="I320" i="3"/>
  <c r="E319" i="3"/>
  <c r="I319" i="3" s="1"/>
  <c r="E318" i="3"/>
  <c r="I318" i="3" s="1"/>
  <c r="E317" i="3"/>
  <c r="I317" i="3" s="1"/>
  <c r="E311" i="3"/>
  <c r="I311" i="3" s="1"/>
  <c r="E310" i="3"/>
  <c r="I310" i="3" s="1"/>
  <c r="E309" i="3"/>
  <c r="I309" i="3" s="1"/>
  <c r="I308" i="3"/>
  <c r="E308" i="3"/>
  <c r="I306" i="3"/>
  <c r="E305" i="3"/>
  <c r="I305" i="3" s="1"/>
  <c r="E304" i="3"/>
  <c r="I304" i="3" s="1"/>
  <c r="E303" i="3"/>
  <c r="I303" i="3" s="1"/>
  <c r="I302" i="3"/>
  <c r="E302" i="3"/>
  <c r="F300" i="3"/>
  <c r="I300" i="3" s="1"/>
  <c r="I299" i="3"/>
  <c r="I298" i="3"/>
  <c r="E298" i="3"/>
  <c r="I297" i="3"/>
  <c r="I296" i="3"/>
  <c r="E296" i="3"/>
  <c r="I295" i="3"/>
  <c r="F294" i="3"/>
  <c r="I294" i="3" s="1"/>
  <c r="E294" i="3"/>
  <c r="F293" i="3"/>
  <c r="I293" i="3" s="1"/>
  <c r="F285" i="3"/>
  <c r="I285" i="3" s="1"/>
  <c r="F284" i="3"/>
  <c r="I284" i="3" s="1"/>
  <c r="F283" i="3"/>
  <c r="I283" i="3" s="1"/>
  <c r="F282" i="3"/>
  <c r="I282" i="3" s="1"/>
  <c r="F280" i="3"/>
  <c r="I280" i="3" s="1"/>
  <c r="F279" i="3"/>
  <c r="I279" i="3" s="1"/>
  <c r="F278" i="3"/>
  <c r="I278" i="3" s="1"/>
  <c r="F277" i="3"/>
  <c r="I277" i="3" s="1"/>
  <c r="F276" i="3"/>
  <c r="I276" i="3" s="1"/>
  <c r="F273" i="3"/>
  <c r="I273" i="3" s="1"/>
  <c r="F272" i="3"/>
  <c r="I272" i="3" s="1"/>
  <c r="F271" i="3"/>
  <c r="I271" i="3" s="1"/>
  <c r="F270" i="3"/>
  <c r="I270" i="3" s="1"/>
  <c r="F269" i="3"/>
  <c r="I269" i="3" s="1"/>
  <c r="F268" i="3"/>
  <c r="I268" i="3" s="1"/>
  <c r="F267" i="3"/>
  <c r="I267" i="3" s="1"/>
  <c r="I262" i="3"/>
  <c r="I261" i="3"/>
  <c r="I260" i="3"/>
  <c r="I258" i="3"/>
  <c r="I257" i="3"/>
  <c r="I256" i="3"/>
  <c r="I254" i="3"/>
  <c r="I249" i="3"/>
  <c r="I248" i="3"/>
  <c r="I247" i="3"/>
  <c r="I246" i="3"/>
  <c r="I245" i="3"/>
  <c r="I244" i="3"/>
  <c r="I243" i="3"/>
  <c r="I242" i="3"/>
  <c r="I240" i="3"/>
  <c r="I239" i="3"/>
  <c r="I238" i="3"/>
  <c r="I237" i="3"/>
  <c r="I236" i="3"/>
  <c r="I235" i="3"/>
  <c r="I234" i="3"/>
  <c r="I233" i="3"/>
  <c r="I230" i="3"/>
  <c r="I229" i="3"/>
  <c r="I228" i="3"/>
  <c r="I227" i="3"/>
  <c r="I226" i="3"/>
  <c r="I225" i="3"/>
  <c r="I224" i="3"/>
  <c r="I219" i="3"/>
  <c r="I218" i="3"/>
  <c r="I217" i="3"/>
  <c r="I216" i="3"/>
  <c r="I215" i="3"/>
  <c r="I213" i="3"/>
  <c r="I212" i="3"/>
  <c r="I211" i="3"/>
  <c r="I210" i="3"/>
  <c r="I209" i="3"/>
  <c r="I206" i="3"/>
  <c r="I205" i="3"/>
  <c r="I204" i="3"/>
  <c r="I203" i="3"/>
  <c r="I202" i="3"/>
  <c r="I201" i="3"/>
  <c r="I200" i="3"/>
  <c r="I195" i="3"/>
  <c r="I194" i="3"/>
  <c r="I193" i="3"/>
  <c r="I191" i="3"/>
  <c r="I190" i="3"/>
  <c r="I189" i="3"/>
  <c r="I184" i="3"/>
  <c r="I183" i="3"/>
  <c r="I182" i="3"/>
  <c r="I181" i="3"/>
  <c r="I180" i="3"/>
  <c r="I179" i="3"/>
  <c r="I178" i="3"/>
  <c r="I177" i="3"/>
  <c r="I175" i="3"/>
  <c r="I174" i="3"/>
  <c r="I173" i="3"/>
  <c r="I172" i="3"/>
  <c r="I171" i="3"/>
  <c r="I170" i="3"/>
  <c r="I169" i="3"/>
  <c r="I168" i="3"/>
  <c r="I165" i="3"/>
  <c r="I164" i="3"/>
  <c r="I163" i="3"/>
  <c r="I162" i="3"/>
  <c r="I161" i="3"/>
  <c r="I160" i="3"/>
  <c r="I159" i="3"/>
  <c r="I155" i="3"/>
  <c r="I154" i="3"/>
  <c r="I153" i="3"/>
  <c r="I152" i="3"/>
  <c r="I151" i="3"/>
  <c r="I150" i="3"/>
  <c r="I149" i="3"/>
  <c r="I148" i="3"/>
  <c r="I146" i="3"/>
  <c r="I145" i="3"/>
  <c r="I144" i="3"/>
  <c r="I143" i="3"/>
  <c r="I142" i="3"/>
  <c r="I141" i="3"/>
  <c r="I140" i="3"/>
  <c r="I139" i="3"/>
  <c r="I135" i="3"/>
  <c r="I133" i="3"/>
  <c r="I132" i="3"/>
  <c r="I128" i="3"/>
  <c r="I126" i="3"/>
  <c r="I124" i="3"/>
  <c r="I123" i="3"/>
  <c r="I117" i="3"/>
  <c r="I116" i="3"/>
  <c r="I115" i="3"/>
  <c r="I113" i="3"/>
  <c r="I112" i="3"/>
  <c r="I111" i="3"/>
  <c r="I110" i="3"/>
  <c r="I109" i="3"/>
  <c r="F104" i="3"/>
  <c r="I104" i="3" s="1"/>
  <c r="I103" i="3"/>
  <c r="I102" i="3"/>
  <c r="I101" i="3"/>
  <c r="I100" i="3"/>
  <c r="F99" i="3"/>
  <c r="I99" i="3" s="1"/>
  <c r="I98" i="3"/>
  <c r="I97" i="3"/>
  <c r="I96" i="3"/>
  <c r="I92" i="3"/>
  <c r="I91" i="3"/>
  <c r="I89" i="3"/>
  <c r="I88" i="3"/>
  <c r="I87" i="3"/>
  <c r="I85" i="3"/>
  <c r="I84" i="3"/>
  <c r="I80" i="3"/>
  <c r="I78" i="3"/>
  <c r="I76" i="3"/>
  <c r="I75" i="3"/>
  <c r="I73" i="3"/>
  <c r="I69" i="3"/>
  <c r="I68" i="3"/>
  <c r="I67" i="3"/>
  <c r="I66" i="3"/>
  <c r="I64" i="3"/>
  <c r="I63" i="3"/>
  <c r="I62" i="3"/>
  <c r="I58" i="3"/>
  <c r="I56" i="3" s="1"/>
  <c r="I22" i="3"/>
  <c r="I21" i="3" s="1"/>
  <c r="I45" i="3"/>
  <c r="I44" i="3"/>
  <c r="I43" i="3"/>
  <c r="I42" i="3"/>
  <c r="I1141" i="3"/>
  <c r="I1140" i="3" s="1"/>
  <c r="I417" i="4"/>
  <c r="J417" i="4" s="1"/>
  <c r="I479" i="4"/>
  <c r="J479" i="4" s="1"/>
  <c r="I478" i="4"/>
  <c r="J478" i="4" s="1"/>
  <c r="I477" i="4"/>
  <c r="J477" i="4" s="1"/>
  <c r="I476" i="4"/>
  <c r="J476" i="4" s="1"/>
  <c r="I475" i="4"/>
  <c r="J475" i="4" s="1"/>
  <c r="I474" i="4"/>
  <c r="J474" i="4" s="1"/>
  <c r="I473" i="4"/>
  <c r="J473" i="4" s="1"/>
  <c r="I481" i="4"/>
  <c r="J481" i="4" s="1"/>
  <c r="J480" i="4" s="1"/>
  <c r="E31" i="43" s="1"/>
  <c r="I439" i="4"/>
  <c r="J439" i="4" s="1"/>
  <c r="I434" i="4"/>
  <c r="J434" i="4" s="1"/>
  <c r="I433" i="4"/>
  <c r="J433" i="4" s="1"/>
  <c r="I447" i="4"/>
  <c r="J447" i="4" s="1"/>
  <c r="I441" i="4"/>
  <c r="J441" i="4" s="1"/>
  <c r="I444" i="4"/>
  <c r="J444" i="4" s="1"/>
  <c r="I438" i="4"/>
  <c r="J438" i="4" s="1"/>
  <c r="I410" i="4"/>
  <c r="J410" i="4" s="1"/>
  <c r="I407" i="4"/>
  <c r="J407" i="4" s="1"/>
  <c r="I406" i="4"/>
  <c r="J406" i="4" s="1"/>
  <c r="I405" i="4"/>
  <c r="J405" i="4" s="1"/>
  <c r="I404" i="4"/>
  <c r="J404" i="4" s="1"/>
  <c r="I402" i="4"/>
  <c r="J402" i="4" s="1"/>
  <c r="I400" i="4"/>
  <c r="J400" i="4" s="1"/>
  <c r="I399" i="4"/>
  <c r="J399" i="4" s="1"/>
  <c r="I348" i="3" l="1"/>
  <c r="I313" i="3"/>
  <c r="I187" i="3"/>
  <c r="J430" i="4"/>
  <c r="I472" i="3"/>
  <c r="I497" i="3"/>
  <c r="I524" i="3"/>
  <c r="I505" i="3"/>
  <c r="I951" i="3"/>
  <c r="I460" i="3"/>
  <c r="I503" i="3"/>
  <c r="I534" i="3"/>
  <c r="I482" i="3"/>
  <c r="I495" i="3"/>
  <c r="I522" i="3"/>
  <c r="I531" i="3"/>
  <c r="I469" i="3"/>
  <c r="I483" i="3"/>
  <c r="I514" i="3"/>
  <c r="I538" i="3"/>
  <c r="I792" i="3"/>
  <c r="I996" i="3"/>
  <c r="I476" i="3"/>
  <c r="I523" i="3"/>
  <c r="I461" i="3"/>
  <c r="I784" i="3"/>
  <c r="I463" i="3"/>
  <c r="I507" i="3"/>
  <c r="I137" i="3"/>
  <c r="I462" i="3"/>
  <c r="I466" i="3"/>
  <c r="I500" i="3"/>
  <c r="I513" i="3"/>
  <c r="I525" i="3"/>
  <c r="I643" i="3"/>
  <c r="I671" i="3"/>
  <c r="I492" i="3"/>
  <c r="I526" i="3"/>
  <c r="I536" i="3"/>
  <c r="I633" i="3"/>
  <c r="I652" i="3"/>
  <c r="I1082" i="3"/>
  <c r="I198" i="3"/>
  <c r="I407" i="3"/>
  <c r="I464" i="3"/>
  <c r="I474" i="3"/>
  <c r="I493" i="3"/>
  <c r="I612" i="3"/>
  <c r="I906" i="3"/>
  <c r="I1002" i="3"/>
  <c r="I760" i="3"/>
  <c r="I130" i="3"/>
  <c r="I382" i="3"/>
  <c r="I494" i="3"/>
  <c r="I710" i="3"/>
  <c r="I913" i="3"/>
  <c r="I491" i="3"/>
  <c r="I681" i="3"/>
  <c r="I544" i="3"/>
  <c r="I817" i="3"/>
  <c r="I94" i="3"/>
  <c r="I416" i="3"/>
  <c r="I545" i="3"/>
  <c r="I637" i="3"/>
  <c r="I823" i="3"/>
  <c r="I920" i="3"/>
  <c r="I496" i="3"/>
  <c r="I41" i="3"/>
  <c r="I82" i="3"/>
  <c r="I222" i="3"/>
  <c r="I252" i="3"/>
  <c r="I716" i="3"/>
  <c r="I733" i="3"/>
  <c r="I899" i="3"/>
  <c r="I690" i="3"/>
  <c r="I704" i="3"/>
  <c r="I1007" i="3"/>
  <c r="I1074" i="3"/>
  <c r="I121" i="3"/>
  <c r="I157" i="3"/>
  <c r="I107" i="3"/>
  <c r="I390" i="3"/>
  <c r="I465" i="3"/>
  <c r="I527" i="3"/>
  <c r="I663" i="3"/>
  <c r="I886" i="3"/>
  <c r="I71" i="3"/>
  <c r="I434" i="3"/>
  <c r="I528" i="3"/>
  <c r="I725" i="3"/>
  <c r="I741" i="3"/>
  <c r="I752" i="3"/>
  <c r="I60" i="3"/>
  <c r="I366" i="3"/>
  <c r="I592" i="3"/>
  <c r="I326" i="3"/>
  <c r="I574" i="3"/>
  <c r="I265" i="3"/>
  <c r="I289" i="3"/>
  <c r="I556" i="3"/>
  <c r="I798" i="3"/>
  <c r="I8" i="3"/>
  <c r="J397" i="4"/>
  <c r="E24" i="43" s="1"/>
  <c r="I520" i="3" l="1"/>
  <c r="I489" i="3"/>
  <c r="I458" i="3"/>
  <c r="I48" i="4"/>
  <c r="J48" i="4" s="1"/>
  <c r="I81" i="4"/>
  <c r="J81" i="4" s="1"/>
  <c r="E78" i="4"/>
  <c r="I75" i="4"/>
  <c r="J75" i="4" s="1"/>
  <c r="I73" i="4"/>
  <c r="J73" i="4" s="1"/>
  <c r="I71" i="4"/>
  <c r="J71" i="4" s="1"/>
  <c r="E2" i="43"/>
  <c r="E3" i="43"/>
  <c r="E4" i="43"/>
  <c r="I454" i="4"/>
  <c r="J454" i="4" s="1"/>
  <c r="I453" i="4"/>
  <c r="J453" i="4" s="1"/>
  <c r="I426" i="4"/>
  <c r="J426" i="4" s="1"/>
  <c r="I425" i="4"/>
  <c r="J425" i="4" s="1"/>
  <c r="I423" i="4"/>
  <c r="J423" i="4" s="1"/>
  <c r="I39" i="4"/>
  <c r="J39" i="4" s="1"/>
  <c r="I41" i="4"/>
  <c r="J41" i="4" s="1"/>
  <c r="I40" i="4"/>
  <c r="J40" i="4" s="1"/>
  <c r="I38" i="4"/>
  <c r="J38" i="4" s="1"/>
  <c r="I34" i="4"/>
  <c r="J34" i="4" s="1"/>
  <c r="I31" i="4"/>
  <c r="J31" i="4" s="1"/>
  <c r="I419" i="4"/>
  <c r="J419" i="4" s="1"/>
  <c r="J418" i="4" s="1"/>
  <c r="E26" i="43" s="1"/>
  <c r="I422" i="4"/>
  <c r="J422" i="4" s="1"/>
  <c r="I412" i="4"/>
  <c r="J412" i="4" s="1"/>
  <c r="J420" i="4" l="1"/>
  <c r="E27" i="43" s="1"/>
  <c r="J451" i="4"/>
  <c r="E29" i="43" s="1"/>
  <c r="E28" i="43"/>
  <c r="H176" i="4" l="1"/>
  <c r="H171" i="4"/>
  <c r="H391" i="4"/>
  <c r="H483" i="4"/>
  <c r="H78" i="4" l="1"/>
  <c r="I78" i="4" s="1"/>
  <c r="J78" i="4" s="1"/>
  <c r="H57" i="4"/>
  <c r="H53" i="4"/>
  <c r="H174" i="4"/>
  <c r="H29" i="4"/>
  <c r="H93" i="4"/>
  <c r="H91" i="4"/>
  <c r="H167" i="4"/>
  <c r="H166" i="4"/>
  <c r="H165" i="4"/>
  <c r="H161" i="4"/>
  <c r="H158" i="4"/>
  <c r="H170" i="4"/>
  <c r="H67" i="4" l="1"/>
  <c r="I67" i="4" s="1"/>
  <c r="J67" i="4" s="1"/>
  <c r="H172" i="4"/>
  <c r="I172" i="4" s="1"/>
  <c r="J172" i="4" s="1"/>
  <c r="H156" i="4"/>
  <c r="I156" i="4" s="1"/>
  <c r="J156" i="4" s="1"/>
  <c r="H59" i="4"/>
  <c r="H92" i="4"/>
  <c r="H153" i="4"/>
  <c r="H89" i="4"/>
  <c r="H86" i="4"/>
  <c r="H96" i="4"/>
  <c r="H98" i="4"/>
  <c r="H64" i="4"/>
  <c r="H14" i="4"/>
  <c r="H21" i="4"/>
  <c r="H162" i="4"/>
  <c r="H159" i="4"/>
  <c r="H160" i="4"/>
  <c r="H63" i="4"/>
  <c r="I53" i="4"/>
  <c r="J53" i="4" s="1"/>
  <c r="H175" i="4" l="1"/>
  <c r="I175" i="4" s="1"/>
  <c r="J175" i="4" s="1"/>
  <c r="H154" i="4"/>
  <c r="I154" i="4" s="1"/>
  <c r="J154" i="4" s="1"/>
  <c r="I153" i="4"/>
  <c r="J153" i="4" s="1"/>
  <c r="I86" i="4"/>
  <c r="J86" i="4" s="1"/>
  <c r="H155" i="4"/>
  <c r="H88" i="4"/>
  <c r="H66" i="4"/>
  <c r="H43" i="4"/>
  <c r="H55" i="4"/>
  <c r="H47" i="4"/>
  <c r="I47" i="4" s="1"/>
  <c r="J47" i="4" s="1"/>
  <c r="H51" i="4" l="1"/>
  <c r="H46" i="4"/>
  <c r="I46" i="4" s="1"/>
  <c r="J46" i="4" s="1"/>
  <c r="H164" i="4"/>
  <c r="H87" i="4"/>
  <c r="I91" i="4"/>
  <c r="J91" i="4" s="1"/>
  <c r="H62" i="4"/>
  <c r="H49" i="4"/>
  <c r="H16" i="4" l="1"/>
  <c r="J8" i="4" l="1"/>
  <c r="H150" i="4" l="1"/>
  <c r="I96" i="4" l="1"/>
  <c r="J96" i="4" s="1"/>
  <c r="I394" i="4"/>
  <c r="J394" i="4" s="1"/>
  <c r="I170" i="4"/>
  <c r="J170" i="4" s="1"/>
  <c r="I82" i="4"/>
  <c r="J82" i="4" s="1"/>
  <c r="I43" i="4"/>
  <c r="J43" i="4" s="1"/>
  <c r="J42" i="4" s="1"/>
  <c r="E11" i="43" s="1"/>
  <c r="I383" i="4"/>
  <c r="J383" i="4" s="1"/>
  <c r="I87" i="4"/>
  <c r="J87" i="4" s="1"/>
  <c r="I70" i="4"/>
  <c r="J70" i="4" s="1"/>
  <c r="J68" i="4" s="1"/>
  <c r="E14" i="43" s="1"/>
  <c r="I29" i="4"/>
  <c r="J29" i="4" s="1"/>
  <c r="I37" i="4"/>
  <c r="J37" i="4" s="1"/>
  <c r="I155" i="4"/>
  <c r="J155" i="4" s="1"/>
  <c r="I49" i="4"/>
  <c r="J49" i="4" s="1"/>
  <c r="I55" i="4"/>
  <c r="J55" i="4" s="1"/>
  <c r="I64" i="4"/>
  <c r="J64" i="4" s="1"/>
  <c r="I158" i="4"/>
  <c r="J158" i="4" s="1"/>
  <c r="I414" i="4"/>
  <c r="J414" i="4" s="1"/>
  <c r="J408" i="4" s="1"/>
  <c r="E25" i="43" s="1"/>
  <c r="I160" i="4"/>
  <c r="J160" i="4" s="1"/>
  <c r="I171" i="4"/>
  <c r="J171" i="4" s="1"/>
  <c r="I165" i="4"/>
  <c r="J165" i="4" s="1"/>
  <c r="I24" i="4"/>
  <c r="J24" i="4" s="1"/>
  <c r="I25" i="4"/>
  <c r="J25" i="4" s="1"/>
  <c r="I150" i="4"/>
  <c r="J150" i="4" s="1"/>
  <c r="J99" i="4" s="1"/>
  <c r="I164" i="4"/>
  <c r="J164" i="4" s="1"/>
  <c r="I83" i="4"/>
  <c r="J83" i="4" s="1"/>
  <c r="I483" i="4"/>
  <c r="J483" i="4" s="1"/>
  <c r="J482" i="4" s="1"/>
  <c r="I51" i="4"/>
  <c r="J51" i="4" s="1"/>
  <c r="J472" i="4"/>
  <c r="I162" i="4"/>
  <c r="J162" i="4" s="1"/>
  <c r="I20" i="4"/>
  <c r="J20" i="4" s="1"/>
  <c r="I63" i="4"/>
  <c r="J63" i="4" s="1"/>
  <c r="I26" i="4"/>
  <c r="J26" i="4" s="1"/>
  <c r="I98" i="4"/>
  <c r="J98" i="4" s="1"/>
  <c r="I16" i="4"/>
  <c r="J16" i="4" s="1"/>
  <c r="I57" i="4"/>
  <c r="J57" i="4" s="1"/>
  <c r="I89" i="4"/>
  <c r="J89" i="4" s="1"/>
  <c r="I174" i="4"/>
  <c r="J174" i="4" s="1"/>
  <c r="I88" i="4"/>
  <c r="J88" i="4" s="1"/>
  <c r="I161" i="4"/>
  <c r="J161" i="4" s="1"/>
  <c r="I21" i="4"/>
  <c r="J21" i="4" s="1"/>
  <c r="I385" i="4"/>
  <c r="J385" i="4" s="1"/>
  <c r="I384" i="4"/>
  <c r="J384" i="4" s="1"/>
  <c r="I389" i="4"/>
  <c r="J389" i="4" s="1"/>
  <c r="I391" i="4"/>
  <c r="J391" i="4" s="1"/>
  <c r="I18" i="4"/>
  <c r="J18" i="4" s="1"/>
  <c r="I92" i="4"/>
  <c r="J92" i="4" s="1"/>
  <c r="I166" i="4"/>
  <c r="J166" i="4" s="1"/>
  <c r="I176" i="4"/>
  <c r="J176" i="4" s="1"/>
  <c r="I14" i="4"/>
  <c r="J14" i="4" s="1"/>
  <c r="I159" i="4"/>
  <c r="J159" i="4" s="1"/>
  <c r="I387" i="4"/>
  <c r="J387" i="4" s="1"/>
  <c r="I380" i="4"/>
  <c r="J380" i="4" s="1"/>
  <c r="I62" i="4"/>
  <c r="J62" i="4" s="1"/>
  <c r="I23" i="4"/>
  <c r="J23" i="4" s="1"/>
  <c r="I378" i="4"/>
  <c r="J378" i="4" s="1"/>
  <c r="J177" i="4" s="1"/>
  <c r="I93" i="4"/>
  <c r="J93" i="4" s="1"/>
  <c r="I167" i="4"/>
  <c r="J167" i="4" s="1"/>
  <c r="I59" i="4"/>
  <c r="J59" i="4" s="1"/>
  <c r="I66" i="4"/>
  <c r="J66" i="4" s="1"/>
  <c r="I9" i="4"/>
  <c r="J9" i="4" s="1"/>
  <c r="J168" i="4" l="1"/>
  <c r="E20" i="43" s="1"/>
  <c r="J7" i="4"/>
  <c r="J151" i="4"/>
  <c r="E32" i="43"/>
  <c r="J381" i="4"/>
  <c r="E30" i="43"/>
  <c r="J393" i="4"/>
  <c r="E23" i="43" s="1"/>
  <c r="J84" i="4"/>
  <c r="J60" i="4"/>
  <c r="E13" i="43" s="1"/>
  <c r="J35" i="4"/>
  <c r="E10" i="43" s="1"/>
  <c r="J32" i="4"/>
  <c r="E9" i="43" s="1"/>
  <c r="J44" i="4"/>
  <c r="J94" i="4"/>
  <c r="J27" i="4"/>
  <c r="E8" i="43" s="1"/>
  <c r="J79" i="4"/>
  <c r="E15" i="43" s="1"/>
  <c r="E18" i="43" l="1"/>
  <c r="E17" i="43"/>
  <c r="E12" i="43"/>
  <c r="E7" i="43"/>
  <c r="E16" i="43" l="1"/>
  <c r="J484" i="4"/>
  <c r="E21" i="43"/>
  <c r="E22" i="43"/>
  <c r="E19" i="43" l="1"/>
  <c r="E33" i="43" s="1"/>
  <c r="D35" i="43" s="1"/>
  <c r="E486" i="4" l="1"/>
</calcChain>
</file>

<file path=xl/sharedStrings.xml><?xml version="1.0" encoding="utf-8"?>
<sst xmlns="http://schemas.openxmlformats.org/spreadsheetml/2006/main" count="3640" uniqueCount="1169">
  <si>
    <t>Objeto:</t>
  </si>
  <si>
    <t>1.1</t>
  </si>
  <si>
    <t>1.2</t>
  </si>
  <si>
    <t>1.3</t>
  </si>
  <si>
    <t>m²</t>
  </si>
  <si>
    <t>m</t>
  </si>
  <si>
    <t>PINTURA</t>
  </si>
  <si>
    <t>vb</t>
  </si>
  <si>
    <t>und</t>
  </si>
  <si>
    <t xml:space="preserve">Anotação de Responsabilidade Técnica - ART </t>
  </si>
  <si>
    <t>Limpeza geral/final da obra</t>
  </si>
  <si>
    <t>REVESTIMENTO DE PISO</t>
  </si>
  <si>
    <t>REVESTIMENTO DE PAREDE</t>
  </si>
  <si>
    <t>mês</t>
  </si>
  <si>
    <t>INSTALAÇÕES HIDRO-SANITÁRIAS</t>
  </si>
  <si>
    <t>INSTALAÇÕES ELÉTRICAS</t>
  </si>
  <si>
    <t>LOUÇAS E METAIS</t>
  </si>
  <si>
    <t>Área:</t>
  </si>
  <si>
    <t>R$/m²</t>
  </si>
  <si>
    <t>1.4</t>
  </si>
  <si>
    <t>Valor das obras por m²:</t>
  </si>
  <si>
    <t>LIMPEZA</t>
  </si>
  <si>
    <t>MISCELÂNEAS</t>
  </si>
  <si>
    <t>1.5</t>
  </si>
  <si>
    <t>1.6</t>
  </si>
  <si>
    <t>1.7</t>
  </si>
  <si>
    <t>1.8</t>
  </si>
  <si>
    <t>1.9</t>
  </si>
  <si>
    <t>1.10</t>
  </si>
  <si>
    <t>1.11</t>
  </si>
  <si>
    <t>1.13</t>
  </si>
  <si>
    <t>1.2.1</t>
  </si>
  <si>
    <t>1.2.2</t>
  </si>
  <si>
    <t>1.5.1</t>
  </si>
  <si>
    <t>1.6.1</t>
  </si>
  <si>
    <t>1.7.1</t>
  </si>
  <si>
    <t>1.8.1</t>
  </si>
  <si>
    <t>1.10.1</t>
  </si>
  <si>
    <t>1.11.1</t>
  </si>
  <si>
    <t>1.13.1</t>
  </si>
  <si>
    <t>1.1.5</t>
  </si>
  <si>
    <t>1.1.4</t>
  </si>
  <si>
    <t>1.1.3</t>
  </si>
  <si>
    <t>1.1.2</t>
  </si>
  <si>
    <t>1.1.1</t>
  </si>
  <si>
    <t>IMPERMEABILIZAÇÃO</t>
  </si>
  <si>
    <t>1.3.1</t>
  </si>
  <si>
    <t>RODAPÉ</t>
  </si>
  <si>
    <t>LOUÇAS</t>
  </si>
  <si>
    <t>METAIS</t>
  </si>
  <si>
    <t>INÓX</t>
  </si>
  <si>
    <t>SOBRE PAREDES INTERNAS</t>
  </si>
  <si>
    <t>SOBRE TETOS</t>
  </si>
  <si>
    <t xml:space="preserve">Chapisco de argamassa de cimento e areia média ou grossa lavada, no traço 1:3, espessura 5 mm </t>
  </si>
  <si>
    <t>REVESTIMENTO INTERNO</t>
  </si>
  <si>
    <t>SOLEIRA</t>
  </si>
  <si>
    <t>1.7.1.1</t>
  </si>
  <si>
    <t>1.7.1.2</t>
  </si>
  <si>
    <t>1.7.1.3</t>
  </si>
  <si>
    <t>COPA</t>
  </si>
  <si>
    <t>1.14</t>
  </si>
  <si>
    <t>1.15</t>
  </si>
  <si>
    <t>1.15.1</t>
  </si>
  <si>
    <t>1.15.1.1</t>
  </si>
  <si>
    <t>1.15.1.2</t>
  </si>
  <si>
    <t>1.16</t>
  </si>
  <si>
    <t>1.14.1</t>
  </si>
  <si>
    <t>1.14.2</t>
  </si>
  <si>
    <t>1.11.1.1</t>
  </si>
  <si>
    <t>1.11.2</t>
  </si>
  <si>
    <t>Fornecimento e colocação de papelão ondulado e/ou manta protetora salva piso, para proteção do piso assentado</t>
  </si>
  <si>
    <t>1.17</t>
  </si>
  <si>
    <t>1.13.1.1</t>
  </si>
  <si>
    <t>1.13.1.2</t>
  </si>
  <si>
    <t>1.13.1.3</t>
  </si>
  <si>
    <t>1.11.2.1</t>
  </si>
  <si>
    <t>1.1.6</t>
  </si>
  <si>
    <t>CANTEIRO DE OBRAS</t>
  </si>
  <si>
    <t>EQUIPAMENTOS</t>
  </si>
  <si>
    <t>ADMINSTRAÇÃO DA OBRA</t>
  </si>
  <si>
    <t>TAXAS E RECOLHIMENTOS</t>
  </si>
  <si>
    <t>1.1.1.1</t>
  </si>
  <si>
    <t>1.1.2.1</t>
  </si>
  <si>
    <t>OPERAÇÃO DO CANTEIRO DE OBRAS</t>
  </si>
  <si>
    <t>ADMINISTRAÇÃO LOCAL</t>
  </si>
  <si>
    <t>MOBILIZAÇÃO E DESMOBILIZAÇÃO DE EQUIPE E EQUIPAMENTOS</t>
  </si>
  <si>
    <t>1.1.6.1</t>
  </si>
  <si>
    <t>1.1.6.2</t>
  </si>
  <si>
    <t>1.1.6.3</t>
  </si>
  <si>
    <t>1.1.6.4</t>
  </si>
  <si>
    <t>Placa de identificação da Obra</t>
  </si>
  <si>
    <t>1.1.5.2</t>
  </si>
  <si>
    <t>Remoção de entulho decorrente da execução de obras (Classe A CONAMA - NBR 10.004 - Classe II-B),  considerado CAÇAMBA DE ENTULHOS MISTOS a cada semana</t>
  </si>
  <si>
    <t>1.1.4.1</t>
  </si>
  <si>
    <t>1.1.3.1</t>
  </si>
  <si>
    <t xml:space="preserve">Proprietário: </t>
  </si>
  <si>
    <t>Endereço:</t>
  </si>
  <si>
    <t>BDI:</t>
  </si>
  <si>
    <t>Leis Sociais:</t>
  </si>
  <si>
    <t>1.2.2.1</t>
  </si>
  <si>
    <t>1.2.1.1</t>
  </si>
  <si>
    <t>Administração local</t>
  </si>
  <si>
    <t>Operação do Canteiro de obras</t>
  </si>
  <si>
    <t>Mobilização de pessoal</t>
  </si>
  <si>
    <t>Mobilização de equipamentos</t>
  </si>
  <si>
    <t>Desmobilização de pessoal</t>
  </si>
  <si>
    <t>Desmobilização de equipamentos</t>
  </si>
  <si>
    <t>ESPELHO</t>
  </si>
  <si>
    <t>1.6.1.1</t>
  </si>
  <si>
    <t>1.6.1.2</t>
  </si>
  <si>
    <t>ESQUADRIAS DE MADEIRA</t>
  </si>
  <si>
    <t>Acessórios para portas</t>
  </si>
  <si>
    <t>FORROS</t>
  </si>
  <si>
    <t>1.12</t>
  </si>
  <si>
    <t>1.18</t>
  </si>
  <si>
    <t>1.19</t>
  </si>
  <si>
    <t>1.20</t>
  </si>
  <si>
    <t>1.21</t>
  </si>
  <si>
    <t>Regularização de base p/ revestimento cerâmico, com argamassa de cimento e areia no traço 1:5, espessura média de 3cm</t>
  </si>
  <si>
    <t>REVESTIMENTO CERAMICO</t>
  </si>
  <si>
    <t>Emboço de argamassa de cimento, cal hidratada CH1 e areia lavada traço 1:0.5:6, espessura 20 mm</t>
  </si>
  <si>
    <t>1.8.1.1</t>
  </si>
  <si>
    <t>1.8.1.2</t>
  </si>
  <si>
    <t>1.9.1</t>
  </si>
  <si>
    <t>1.9.1.1</t>
  </si>
  <si>
    <t>1.9.1.2</t>
  </si>
  <si>
    <t>1.9.1.3</t>
  </si>
  <si>
    <t>1.10.1.1</t>
  </si>
  <si>
    <t>1.10.1.2</t>
  </si>
  <si>
    <t>CLIMATIZAÇÃO</t>
  </si>
  <si>
    <t>1.18.1</t>
  </si>
  <si>
    <t>1.16.1</t>
  </si>
  <si>
    <t>1.16.1.1</t>
  </si>
  <si>
    <t>1.16.1.2</t>
  </si>
  <si>
    <t>1.16.1.3</t>
  </si>
  <si>
    <t>1.19.1</t>
  </si>
  <si>
    <t>1.19.2</t>
  </si>
  <si>
    <t>TOTAL</t>
  </si>
  <si>
    <t>UNIDADE</t>
  </si>
  <si>
    <t>CÓDIGO</t>
  </si>
  <si>
    <t>QTIDADE</t>
  </si>
  <si>
    <t>UND</t>
  </si>
  <si>
    <t>MÃO DE OBRA</t>
  </si>
  <si>
    <t>MATERIAL</t>
  </si>
  <si>
    <t>CUSTO UNITÁRIO (R$)</t>
  </si>
  <si>
    <t>ITEM</t>
  </si>
  <si>
    <t>DESCRIÇÃO</t>
  </si>
  <si>
    <t>VALOR TOTAL 
(R$)</t>
  </si>
  <si>
    <t>PR. UNITÁRIO 
C/BDI
(R$)</t>
  </si>
  <si>
    <t xml:space="preserve">TOTAL </t>
  </si>
  <si>
    <t>CÓD. REF.
IOPES</t>
  </si>
  <si>
    <t>130321</t>
  </si>
  <si>
    <t>Fornecimento e instalação de batedor de porta - TODAS AS PORTAS</t>
  </si>
  <si>
    <t>1.4.1</t>
  </si>
  <si>
    <t>1.20.1</t>
  </si>
  <si>
    <t>1.17.1</t>
  </si>
  <si>
    <t>Fornecimento dos materiais para execução das instalações hidrossanitárias</t>
  </si>
  <si>
    <t>Fornecimento dos materiais para execução das instalações elétricas</t>
  </si>
  <si>
    <t>COTAÇÃO</t>
  </si>
  <si>
    <t>PLANILHA ORÇAMENTÁRIA SINTÉTICA</t>
  </si>
  <si>
    <t>1.22</t>
  </si>
  <si>
    <t>1.22.1</t>
  </si>
  <si>
    <t>LUMINÁRIAS</t>
  </si>
  <si>
    <t>Copa</t>
  </si>
  <si>
    <t>1.18.2</t>
  </si>
  <si>
    <t>1.21.1</t>
  </si>
  <si>
    <t>1.15.2</t>
  </si>
  <si>
    <t>1.15.2.1</t>
  </si>
  <si>
    <t>LUMINARIAS</t>
  </si>
  <si>
    <t>MARCENARIA</t>
  </si>
  <si>
    <t>1.23</t>
  </si>
  <si>
    <t>1.23.1</t>
  </si>
  <si>
    <t>1.24</t>
  </si>
  <si>
    <t>1.24.1</t>
  </si>
  <si>
    <t>1.22.2</t>
  </si>
  <si>
    <t>1.17.2</t>
  </si>
  <si>
    <t>20339</t>
  </si>
  <si>
    <t>PAREDE DE GESSO ACARTONADO</t>
  </si>
  <si>
    <t>1.22.3</t>
  </si>
  <si>
    <t>1.25</t>
  </si>
  <si>
    <t>1.16.2</t>
  </si>
  <si>
    <t>1.16.2.1</t>
  </si>
  <si>
    <t>1.17.1.1</t>
  </si>
  <si>
    <t>1.21.2</t>
  </si>
  <si>
    <t>1.25.1</t>
  </si>
  <si>
    <t>1.26</t>
  </si>
  <si>
    <t>1.6.2</t>
  </si>
  <si>
    <t>1.6.2.1</t>
  </si>
  <si>
    <t>1.7.2</t>
  </si>
  <si>
    <t>1.7.2.1</t>
  </si>
  <si>
    <t>1.8.2</t>
  </si>
  <si>
    <t>1.8.2.2</t>
  </si>
  <si>
    <t>1.8.3</t>
  </si>
  <si>
    <t>1.8.3.1</t>
  </si>
  <si>
    <t>1.10.1.3</t>
  </si>
  <si>
    <t>1.10.2</t>
  </si>
  <si>
    <t>1.10.2.1</t>
  </si>
  <si>
    <t>1.10.2.2</t>
  </si>
  <si>
    <t>1.12.1</t>
  </si>
  <si>
    <t>1.12.1.1</t>
  </si>
  <si>
    <t>1.13.2</t>
  </si>
  <si>
    <t>1.13.2.1</t>
  </si>
  <si>
    <t>1.13.2.2</t>
  </si>
  <si>
    <t>1.13.2.3</t>
  </si>
  <si>
    <t>1.14.1.1</t>
  </si>
  <si>
    <t>1.14.2.1</t>
  </si>
  <si>
    <t>1.14.2.2</t>
  </si>
  <si>
    <t>1.14.2.3</t>
  </si>
  <si>
    <t>BOTÃO DE ALARME</t>
  </si>
  <si>
    <t>1.18.3</t>
  </si>
  <si>
    <t>1.24.2</t>
  </si>
  <si>
    <t>1.24.3</t>
  </si>
  <si>
    <t>1.26.1</t>
  </si>
  <si>
    <t>1.4.1.1</t>
  </si>
  <si>
    <t>1.4.1.2</t>
  </si>
  <si>
    <t>1.4.1.3</t>
  </si>
  <si>
    <t>1.4.1.4</t>
  </si>
  <si>
    <t>1.4.1.5</t>
  </si>
  <si>
    <t>REFORMA E ADEQUAÇÃO DO NOVO LAYOUT DO CONSELHO REGIONAL DE NUTRICIONISTAS DA 9ª REGIÃO - CRN9</t>
  </si>
  <si>
    <t>CRN9 - CONSELHO REGIONAL DE NUTRICIONISTAS DA 9ª REGIÃO</t>
  </si>
  <si>
    <t>RUA MARANHÃO Nº 310, BAIRRO SANTA EFIGÊNIA - BELO HORIZONTE/ MG</t>
  </si>
  <si>
    <t>PLANILHA ORÇAMENTÁRIA DE ESTIMATIVA DE CUSTOS</t>
  </si>
  <si>
    <t>710,00m²</t>
  </si>
  <si>
    <t>TAPUMES</t>
  </si>
  <si>
    <t>Fornecimento e instalação de tapume em chapa de madeira compensada resinada, esp.=6mm, inclusive montagem</t>
  </si>
  <si>
    <t>DEMOLIÇÕES</t>
  </si>
  <si>
    <t>un</t>
  </si>
  <si>
    <t>FECHAMENTOS DE PAREDE</t>
  </si>
  <si>
    <t>Fornecimento e execução de tratamento acústico com manta de lã de pet - em parede existente</t>
  </si>
  <si>
    <t>Execução de sóculo em alvenaria, h=10cm, com revestimento em argamassa de cimento e areia no traço 1:5, espessura média de 3cm</t>
  </si>
  <si>
    <t>1.6.1.3</t>
  </si>
  <si>
    <t>1.6.3</t>
  </si>
  <si>
    <t>PISO VINILICO</t>
  </si>
  <si>
    <t>1.6.3.1</t>
  </si>
  <si>
    <t>Fornecimento e assentamento de Piso vinílico em réguas com acabamento madeirado, dimensões 178x1219cm. Ref.: Sevilha, Linha City, marca Durafloor ou equivalente</t>
  </si>
  <si>
    <t>1.6.4</t>
  </si>
  <si>
    <t>1.6.4.1</t>
  </si>
  <si>
    <t>1.6.5</t>
  </si>
  <si>
    <t>1.6.5.1</t>
  </si>
  <si>
    <t>1.7.2.2</t>
  </si>
  <si>
    <t>Fornecimento e assentamento de Porcelanato cor verde, dimensões 6,5x23cm, variação visual V1, com 6 faces, Junta seca. Ref.: Acquamarine, linha Color Market, marca Portobello ou equivalente, inclusive argamassa de cimento colante e rejunte  e rejunte quartzolit na cor branca</t>
  </si>
  <si>
    <t>Fornecimento e instalação de Porta de giro tipo prancheta, com miolo em lã de pet, com marco e alizar, L=7cm no mesmo acabamento. (Fechadura externa tipo alavanca com acabamento cromado. Ref.: MZ 271 Standard, marca Papaiz ou equivalente), e acabamento laminado cor branco, nas seguintes dimensões:</t>
  </si>
  <si>
    <t>Fornecimento e instalação de Porta de giro tipo prancheta, com miolo em lã de pet, com marco e alizar, L=7cm no mesmo acabamento. (Fechadura externa tipo alavanca com acabamento cromado. Ref.: MZ 271 Standard, marca Papaiz ou equivalente) e com acabamento laminado madeirado (Noce Amendoa), nas seguintes dimensões:</t>
  </si>
  <si>
    <t>Divisória piso-teto divida por módulos em vidro de segurança duplos transparente com persiana interna cor Grafite, película e estrutura em alumínio (cor preto). Espessura total = 85mm. Ref.: Linha Linear, marca Marelli ou equivalente</t>
  </si>
  <si>
    <t>Divisória piso-teto divida por módulos em vidro de segurança laminado 5+5mm transparente com estrutura em alumínio (cor preto) e junta seca com perfil de policarbonato (função acústica). Espessura total = 5mm. Ref.: Linha Time, marca Marelli ou equivalente</t>
  </si>
  <si>
    <t>Painel acústico h=130cm em lã de vidro aglomerada com resina sintética revestido em tecido em ambas as faces na cor prata. Ref.: Painel Sonare, marca Isover ou equivalente</t>
  </si>
  <si>
    <t>DEMOLIÇOES E RETIRADAS</t>
  </si>
  <si>
    <t xml:space="preserve">SERVIÇOS PRELIMARES </t>
  </si>
  <si>
    <t>REMOÇÃO DE ENTULHO</t>
  </si>
  <si>
    <t>DEMOLIÇÕES E RETIRADAS</t>
  </si>
  <si>
    <t>1.3.1.1</t>
  </si>
  <si>
    <t>PISO CERÂMICO</t>
  </si>
  <si>
    <t>PROTEÇÃO DE PISO</t>
  </si>
  <si>
    <t>1.6.6</t>
  </si>
  <si>
    <t>1.6.6.1</t>
  </si>
  <si>
    <t>Porta de giro em alumínio, dimensões= 60x210cm, com veneziana ventilada na cor preto. Fechadura externa tipo alavanca com acabamento cromado. Ref.: MZ 271 Standard, marca Papaiz ou equivalente</t>
  </si>
  <si>
    <t>Módulo de porta simples de abrir, dimensões= 100x256cm, vidro único, emoldurada com estrutura em alumínio (cor preto) e junta seca com perfil de policarbonato (função acústica). Ref.: Linha Time, marca Marelli ou equivalente</t>
  </si>
  <si>
    <t>Módulo de porta simples de correr, dimensões= 100x260cm, vidro duplo, com persiana interna, cor Grafite, película e estrutura em alumínio (cor preto). Ref.: Linha Linear, marca Marelli ou equivalente</t>
  </si>
  <si>
    <t>Fornecimento e instalação de módulo de porta simples de abrir, dimensões= 100x256cm, vidro único, emoldurada com estrutura em alumínio (cor preto) e junta seca com perfil de policarbonato (função acústica). Ref.: Linha Time, marca Marelli ou equivalente</t>
  </si>
  <si>
    <t>Fornecimento e instalação de Módulo de porta simples de correr, dimensões= 100x260cm, vidro duplo, com persiana interna, cor Grafite, película e estrutura em alumínio (cor preto). Ref.: Linha Linear, marca Marelli ou equivalente</t>
  </si>
  <si>
    <t>ESQUADRIA DE VIDRO E DE ALUMINIO</t>
  </si>
  <si>
    <t>Fornecimento e instalação de Divisória piso-teto divida por módulos em vidro de segurança duplos transparente com persiana interna cor Grafite, película e estrutura em alumínio (cor preto). Espessura total = 85mm. Ref.: Linha Linear, marca Marelli ou equivalente</t>
  </si>
  <si>
    <t>Fornecimento e instalação de Divisória piso-teto divida por módulos em vidro de segurança laminado 5+5mm transparente com estrutura em alumínio (cor preto) e junta seca com perfil de policarbonato (função acústica). Espessura total = 5mm. Ref.: Linha Time, marca Marelli ou equivalente</t>
  </si>
  <si>
    <t>ESQUADRIA DE VIDRO - JANELAS</t>
  </si>
  <si>
    <t>PAINEIS E PORTAS MARELLI</t>
  </si>
  <si>
    <t>MOBILIÁRIO</t>
  </si>
  <si>
    <t xml:space="preserve">PAINEL ACÚSTICO </t>
  </si>
  <si>
    <t>ESQUADRIA DE ALUMÍNIO - PORTAS</t>
  </si>
  <si>
    <t>Vidro fixo, dimensões= 75x105cm</t>
  </si>
  <si>
    <t>Luminária de embutir em forro de gesso com recuo de 26mm em perfil de alumínio extrudado tratado e pintado por processo eletrostático e difusor em policarbonato leitoso. Peça 4x17w. Temperatura de cor de 4000k. Dim. 60x60cm. Ref.: 05 1444/01 1444 Multiplus Difuso, marca Interpam ou equivalente</t>
  </si>
  <si>
    <t>Luminária linear fabricada em alumínio extrudado com acabamento em pintura eletrostática. Possui construção monolítica com acabamento interno suavemente curvo (visual de fundo infinito). Usar fita de LED 19W/m 4000k + driver. Ref.: 01 9130 Perfil Trace simples linear por Metro, marca Interpam ou equivalente</t>
  </si>
  <si>
    <t>Luminária embutida no gesso com foco recuado, fabricado em alumínio e pintado por processo eletrostático. Possui sistema de orientação no foco da lâmpada. 4000k. Ref.: 01 1402 Slide dic/ar 1 foco</t>
  </si>
  <si>
    <t>Arandela com possibilidade de utilização de luz direta (lâmpada Balloon Miljy ou filamento vintage Balloon G95) ou indireta (lâmpada defletora Balloon G95). Fabricado em alumínio. Ref.: 01 6503 1x LED Baloon - E27, 4000k. marca Interpam ou equivalente</t>
  </si>
  <si>
    <t>Tela tensionada sem emendas. Encaixe através de sistema removível. Usar fita LED 19W/m 4000k, sendo 5 linhas de fita no comprimento da tela. Ref.: marca Tensoflex ou equivalente</t>
  </si>
  <si>
    <t>ARANDELA</t>
  </si>
  <si>
    <t>TELA TENSIONADA</t>
  </si>
  <si>
    <t xml:space="preserve">INSTALAÇÃO </t>
  </si>
  <si>
    <t>Aplicação de fundo selador acrílico, marcas de referência Suvinil ou similar</t>
  </si>
  <si>
    <t>Execução de pintura acrílica premium com efeito tipo cimento queimado, aplicada com desempenadeira de aço inoxidável com cantos arredondados</t>
  </si>
  <si>
    <t>1.10.1.4</t>
  </si>
  <si>
    <t>1.10.2.3</t>
  </si>
  <si>
    <t>Fornecimento e instalação de parede com placas de gesso acartonado (dry wall) com 2 faces do  tipo dry-wall, espessura final 9,5cm, em placas na cor Branca "ST"  para áreas secas, incluindo o tratamento acústico em manta de lã de pet</t>
  </si>
  <si>
    <t>Fornecimento e instalação de parede com placas de gesso acartonado (dry wall) com 2 faces do  tipo dry-wall, espessura final 9,5cm, em placas na cor Verde "ST", para áreas molhadas, incluindo o tratamento acústico em manta de lã de pet</t>
  </si>
  <si>
    <t>Execução de paredes em gesso acartonado, com 2 faces do  tipo dry-wall, espessura final 9,5cm, em placas na cor Branca "ST", para áreas secas</t>
  </si>
  <si>
    <t>Execução de paredes em gesso acartonado, com 2 faces do  tipo dry-wall, espessura final 9,5cm, em placas na cor Verde "RU", para áreas molhadas</t>
  </si>
  <si>
    <t>1.19.1.1</t>
  </si>
  <si>
    <t>1.14.1.2</t>
  </si>
  <si>
    <t>1.14.1.3</t>
  </si>
  <si>
    <t>Equipe de mão-de-Obra para instalação das luminárias, arandelas e tela tensionada, conforme projeto</t>
  </si>
  <si>
    <t>EQUIPE</t>
  </si>
  <si>
    <t>1.12.1.2</t>
  </si>
  <si>
    <t>0,60x2,10m - assentamento em parede L= 7cm</t>
  </si>
  <si>
    <t>0,80x2,10m - assentamento em parede L= 7cm</t>
  </si>
  <si>
    <t>0,95x2,10m - assentamento em parede L= 7cm</t>
  </si>
  <si>
    <t>1.8.4</t>
  </si>
  <si>
    <t>1.8.4.1</t>
  </si>
  <si>
    <t xml:space="preserve">FORRO DE GESSO </t>
  </si>
  <si>
    <t>Fornecimento e montagem de sistema de forro em gesso acartonado (placa branca), constituída de placas ST (standard), incluindo linha de sombra, tipo junta de dilatação (tabica) de 3x3cm, fixados na laje</t>
  </si>
  <si>
    <t>1.18.1.1</t>
  </si>
  <si>
    <t>1.18.2.1</t>
  </si>
  <si>
    <t>1.18.3.1</t>
  </si>
  <si>
    <t>1.22.1.1</t>
  </si>
  <si>
    <t>1.22.1.2</t>
  </si>
  <si>
    <t>1.23.2</t>
  </si>
  <si>
    <t>1.6.1.4</t>
  </si>
  <si>
    <t>Fornecimento e assentamento de soleira em perfil junção no mesmo padrão do piso vinílico</t>
  </si>
  <si>
    <t>Enchimento de piso com lastro de concreto não estrutural, na espessura de 3cm</t>
  </si>
  <si>
    <t>Recomposição de reboco paulista (massa única) no traço 1:2:7 (cimento, cal hidratada e areia) - alvenaria existente com anomalias e imperfeições</t>
  </si>
  <si>
    <t>LAVABO</t>
  </si>
  <si>
    <t>BANCADAS DE GRANITO</t>
  </si>
  <si>
    <t>Equipe de Mão-de-Obra para execução das instalações hidrossanitárias, conforme  projeto específico</t>
  </si>
  <si>
    <t>Fornecimento e instalação de Bacia sanitária suspensa com bomba triturado embutida, estrutura autoportante e acabamento em ABS na cor Branco, incluindo assento,  linha Sanicompact Comfort, ref.: Sanitrit</t>
  </si>
  <si>
    <t>Fornecimento e Instalação de Lavatório linha Spot cód.: L39.17 e coluna suspensa  CS.39, na cor Branco, ref.: Deca, com sifão para lavatório cromado, inclusive elementos de fixação</t>
  </si>
  <si>
    <t>1.13.1.4</t>
  </si>
  <si>
    <t>Fornecimento e instalação de Bacia sanitária sem abertura frontal, ref.: Vogue Plus Conforto P.515.17, cx. acoplada de acionamento duo, ref.: CDC.01F.17 e assento plástico AP50.17, na cor Branco, ref.: Deca, inclusive elementos de fixação</t>
  </si>
  <si>
    <t>Fornecimento e Instalação de  Cuba de louça de semi encaixe com mesa, cor branca, dim.: 135x330x365mm. Cód.: L.733.17, ref.: Deca ou equivalente, com sifão  para lavatório cromado, inclusive elementos de fixação</t>
  </si>
  <si>
    <t>Fornecimento e instalação de Torneira de mesa com filtro Carbon Block para cozinha (corpo único), acabamento cromado. Possui arejador articulado, 1/4 de volta e regulagem de vazão. Ref.: 1140.C,Ref.: Deca ou equivalente</t>
  </si>
  <si>
    <t>Fornecimento e instalação de Torneira de mesa com fechamento automático para lavatório, acabamento cromado, linha Decamatic Eco, cód.: 1173.C, Ref.: Deca ou equivalente</t>
  </si>
  <si>
    <t>Fornecimento e instalação de Ducha higiênica com registro e acabamento cromado. Linha Aspen, cód.: 1984.C35.ACT,  Ref.: Deca ou equivalente</t>
  </si>
  <si>
    <t>1.13.2.4</t>
  </si>
  <si>
    <t>1.13.2.5</t>
  </si>
  <si>
    <t>Fornecimento e instalação de Ralo Linear quadrado com grelha em inóx 15x15cm, Ref.:  Moldenox ou equivalente</t>
  </si>
  <si>
    <t>1.13.3</t>
  </si>
  <si>
    <t>1.13.3.1</t>
  </si>
  <si>
    <t>1.13.3.2</t>
  </si>
  <si>
    <t>1.13.3.3</t>
  </si>
  <si>
    <t>1.13.3.4</t>
  </si>
  <si>
    <t>Fornecimento e Instalação de Cuba retangular de embutir em aço inox AISI 430, esp.:= 0,5mm e acabamento polido, inclusive válvula,  dimensões= 47x30x14cm, linha Lavínia, código 94083506, ref.: Tramontina ou equivalente, incluindo acessórios para instalação (sifão e engate)</t>
  </si>
  <si>
    <t>Fornecimento e Instalação de Barra de apoio em aço inox L=80cm, linha Conforto, cód.: 2310.I.080.Pol., Ref: Deca ou equivalente</t>
  </si>
  <si>
    <t>Fornecimento e Instalação de Barra de apoio em aço inox L=70cm, linha Conforto, cód.: 2310.I.070.Pol., Ref.: Deca ou equivalente</t>
  </si>
  <si>
    <t>Fornecimento e Instalação de Barra de apoio em aço inox L=40cm, linha Conforto, cód.: 2310.I.040.Pol.,  Ref.: Deca ou equivalente</t>
  </si>
  <si>
    <t>DISPENSER</t>
  </si>
  <si>
    <t>Dispenser para sabonete líquido ou álcool em gel (capacidade para 800ml) em aço inox escovado com visor de nível e reservatório plástico interno e acionamento por pressão, dim.: 23,5x11,0x8,5cm, linha Slim Noble, cód.: 001060, Ref.: Biovis ou equivalente</t>
  </si>
  <si>
    <t>Dispenser para sabonete líquido ou álcool em gel (cap.: 800ml) em aço inox escovado com visor de nível e reservatório plástico interno e acionamento por pressão, dim.: 23,5x11,0x8,5cm, linha Slim Noble, cód.: 001060, Ref.: Biovis ou equivalente</t>
  </si>
  <si>
    <t>Dispenser de parede para papel toalha interfolhas (capacidade 600 folhas) em aço inox escovado com chave de segurança e visor de nível. dim.: 25,5x26,5x10,5cm ,Linha Noble, cód.:  001029, Ref.: Biovis ou equivalente</t>
  </si>
  <si>
    <t>Dispenser de parede para rolo de papel higiênico rolão em aço inox escovado com chave de segurança e visor de nível, dim.: 27x26x11,5cm, linha Noble, cód.: 001028, Ref.: Biovis ou equivalente</t>
  </si>
  <si>
    <t>Lixeira inóx com aro e com tampa tipo báscula 12,0 litros, linha Decorline, Ref.: Brinox ou equivalente</t>
  </si>
  <si>
    <t>Lixeira inóx com aro e com pedal 20,0 litros, linha Decorline, Ref.: Brinox ou equivalente</t>
  </si>
  <si>
    <t>Lixeira inóx com aro 20,0 litros, linha Decorline, Ref.: Brinox ou equivalente</t>
  </si>
  <si>
    <t>1.16.3</t>
  </si>
  <si>
    <t>1.16.3.1</t>
  </si>
  <si>
    <t>1.16.4</t>
  </si>
  <si>
    <t>1.16.4.1</t>
  </si>
  <si>
    <t>INSTALAÇÕES DE COMBATE E PREVENÇÃO DE INCÊNDIO</t>
  </si>
  <si>
    <t>EXTINTORES</t>
  </si>
  <si>
    <t>PLACAS</t>
  </si>
  <si>
    <t>1.18.1.2</t>
  </si>
  <si>
    <t>1.18.3.2</t>
  </si>
  <si>
    <t>1.18.3.3</t>
  </si>
  <si>
    <t>1.18.3.4</t>
  </si>
  <si>
    <t>Fornecimento e instalação de Placa de sinalização S1 DIREITA</t>
  </si>
  <si>
    <t>Fornecimento e instalação de Placa de sinalização S2 ESQUERDA</t>
  </si>
  <si>
    <t>Fornecimento e instalação de Luminária de Emergência 30 LEDs Bivolt com autonomia para 3 horas na função brilho intenso e 6 horas na função brilho suave</t>
  </si>
  <si>
    <t>Fornecimento e instalação de Placa de sinalização S3</t>
  </si>
  <si>
    <t>Fornecimento e instalação de Placa de sinalização de equipamento</t>
  </si>
  <si>
    <t>1.19.2.1</t>
  </si>
  <si>
    <t>1.19.3</t>
  </si>
  <si>
    <t>1.19.3.1</t>
  </si>
  <si>
    <t>1.19.3.2</t>
  </si>
  <si>
    <t>Fornecimento e instalação de Espelho, espessura= 4mm, medindo 0,60x1,30m</t>
  </si>
  <si>
    <t>Fornecimento e instalação de Vidro fixo, dimensões= 75x105cm</t>
  </si>
  <si>
    <t>Fornecimento e instalação de Porta de giro em alumínio, dimensões= 60x210cm, com veneziana ventilada na cor preto. Fechadura externa tipo alavanca com acabamento cromado. Ref.: MZ 271 Standard, marca Papaiz ou equivalente</t>
  </si>
  <si>
    <t>Fornecimento e instalação de Espelho, espessura= 4mm, medindo 0,60x0,90m</t>
  </si>
  <si>
    <t>1.21.1.1</t>
  </si>
  <si>
    <t>1.21.1.2</t>
  </si>
  <si>
    <t>1.21.2.1</t>
  </si>
  <si>
    <t>1.21.2.2</t>
  </si>
  <si>
    <t>ME1 - Mesa simples com tampo reto em MDP espessura= 25mm. Revestido com laminado melamínico em ambas as faces na cor preto, resistente a abrasão. Bordas retas. Pé tipo pórtico em estrutura metálica. dimensões 150x60cm. Ref: Linha Work, marca Marelli ou equivalente</t>
  </si>
  <si>
    <t>ME2 - Mesa simples com tampo redondo em MDP espessura= 25mm. Revestido com laminado melamínico em ambas as faces na cor preto, resistente a abrasão. Pé em estrutura metálica. ∅=60cm. Ref.: marca Marelli ou equivalente</t>
  </si>
  <si>
    <t>ME3 - Mesa de trabalho tipo plataforma com tampo reto em MDP acabamento revestido com laminado melamínico em ambas as faces na cor Carvalho Munique e pés tipo cavalete em aço cor preto. Possui elétrica e divisor embutido em madeira. Dimensões 120x75cm</t>
  </si>
  <si>
    <t>MR1 - Mesa de reunião redonda ∅=120cm. Tampo em MDP com acabamento melamínico cor Carvalho Munique e base em aço com 5 pés cor preto. Passível de passagem de cabos pelo interior da estrutura com caixa de tomadas com tampa em alumínio. Ref.: Linha Sistema Z, marca Marelli ou equivalente</t>
  </si>
  <si>
    <t>MR2 - Mesa de reunião com tampo reto em MDF acabamento madeirado (Noce Amendoa). Dimensões 210x395cm. Pé linear central. Possui acesso a pontos de energia, telefonia e lógica através de perfil basculante em alumínio</t>
  </si>
  <si>
    <t>MR3 - Mesa de reunião retangular  com tampo em MDP com acabamento melamínico cor Carvalho  Munique e base em aço cor preto.  Dimensões 90x160cm. Ref.: Linha Work, Marca Marelli ou equivalente</t>
  </si>
  <si>
    <t>1.22.1.3</t>
  </si>
  <si>
    <t>1.22.1.4</t>
  </si>
  <si>
    <t>ARM1 - Armário médio dimensões (LxPxH) 120x50x73cm caixaria cor Grafite e melamínico Carvalho Munique. Possui dobradiças com amortecimento, puxadores embutidos, chave com sistema escamoteável e sistema de montagem tambor e minifix. Ref.: Linha Arquivamento, marca Marelli ou equivalente</t>
  </si>
  <si>
    <t>ARM2 - Armário médio dimensões (LxPxH) 160x50x73cm caixaria cor Grafite e melamínico Carvalho Munique. Possui dobradiças com amortecimento, puxadores embutidos, chave com sistema escamoteável e sistema de montagem tambor e minifix. Ref.: Linha Arquivamento, marca Marelli ou equivalente</t>
  </si>
  <si>
    <t>1.22.2.1</t>
  </si>
  <si>
    <t>1.22.2.2</t>
  </si>
  <si>
    <t>1.22.3.1</t>
  </si>
  <si>
    <t>1.22.3.2</t>
  </si>
  <si>
    <t>CA1 - Cadeira fixa com assento estofado com espuma injetada de alta qualidade com densidade e maciez controladas. Possui encosto fixo e apoio lombar com regulagem de altura e estrutura metálica tipo balancim, com laterais em tubo de aço e acabamento na cor preta. Sapatas intejatas em polipropileno. dimensões 55x51cm. Ref.: código 211b/059prprpr, Linha you, marca Marelli ou equivalente</t>
  </si>
  <si>
    <t>CA2 - Cadeira fixa com assento e encosto espaldar baixo injetado em PP na cor preto. Estrutura em aço maciço ∅=11mm com sapatas deslizantes PP. Cadeiras empilháveis. Ref.: código 1901/CLCL, Linha Yog, marca Marelli ou equivalente</t>
  </si>
  <si>
    <t>CA3 - Cadeira giratória com assento e encosto de espaldar médio com espuma anatômica. Possui regulagem de altura e apoio de braços. Cor preta. Ref.: cód. 703B1/059NY, Linha Active 703, marca Marelli ou equivalente</t>
  </si>
  <si>
    <t>1.23.1.1</t>
  </si>
  <si>
    <t>1.23.1.2</t>
  </si>
  <si>
    <t>PERSIANA</t>
  </si>
  <si>
    <t>1.24.4</t>
  </si>
  <si>
    <t>1.24.5</t>
  </si>
  <si>
    <t>1.24.6</t>
  </si>
  <si>
    <t>1.24.7</t>
  </si>
  <si>
    <t>Air Fryer</t>
  </si>
  <si>
    <t>Purificador de água</t>
  </si>
  <si>
    <t>Forno de embutir elétrico 67 litros em inox. Dim.: 58x56x56cm, cód.: BO260AR, Ref.: Brastemp ou equivalente</t>
  </si>
  <si>
    <t>Microondas de embutir 40 litros em inox, dim.: 45x60x55cm, cód.: BMO40AR, Ref.: Brastemp ou equivalente</t>
  </si>
  <si>
    <t>Projetor a definir em projeto de áudio e vídeo. Acompanha suporte de teto</t>
  </si>
  <si>
    <t>Tela para projetor a definir em projeto de áudio e vídeo</t>
  </si>
  <si>
    <t>1.19.4</t>
  </si>
  <si>
    <t>1.19.4.1</t>
  </si>
  <si>
    <t>QUADRO DE VIDRO BRANCO</t>
  </si>
  <si>
    <t>Fornecimento e instalação de  Quadro em vidro branco temperado 8mm com suporte para apagador, fixação com botão francês. Dim.: 450x120cm (QVI)</t>
  </si>
  <si>
    <t>MEMÓRIA DE CÁLCULO - ARQUITETURA</t>
  </si>
  <si>
    <t/>
  </si>
  <si>
    <t>QUANTIDADE</t>
  </si>
  <si>
    <t>ÁREA</t>
  </si>
  <si>
    <t>COMPRIM.</t>
  </si>
  <si>
    <t>LARGURA</t>
  </si>
  <si>
    <t>ALTURA</t>
  </si>
  <si>
    <t>RESULTADO</t>
  </si>
  <si>
    <t>ADMINISTRAÇÃO DA OBRA</t>
  </si>
  <si>
    <t>Projeto "As Built" de Arquitetura</t>
  </si>
  <si>
    <t>3º Pavimento</t>
  </si>
  <si>
    <t>4º Pavimento</t>
  </si>
  <si>
    <t>7º Pavimento</t>
  </si>
  <si>
    <t>8º Pavimento</t>
  </si>
  <si>
    <t>Fornecimento e instalação de placa de obra em chapa galvanizada *n. 22*, adesivada</t>
  </si>
  <si>
    <t>Placa de obra</t>
  </si>
  <si>
    <t>Demolições</t>
  </si>
  <si>
    <t>Sala Jurídico e Contabilidade</t>
  </si>
  <si>
    <t>Diretoria</t>
  </si>
  <si>
    <t>Sala de Reunião</t>
  </si>
  <si>
    <t>Lounge</t>
  </si>
  <si>
    <t>Circulação</t>
  </si>
  <si>
    <t>I.S. Masculino</t>
  </si>
  <si>
    <t>I.S. Feminino</t>
  </si>
  <si>
    <t>Lavabo</t>
  </si>
  <si>
    <t>Departamento Jurídico e Contabilidade</t>
  </si>
  <si>
    <t>Recepção</t>
  </si>
  <si>
    <t>Área de Convivência</t>
  </si>
  <si>
    <t>I.S. Acessível Unissex</t>
  </si>
  <si>
    <t>Circulação e Baias de Trabalho</t>
  </si>
  <si>
    <t>Sala de Trabalho</t>
  </si>
  <si>
    <t>Parede de gesso acartonado</t>
  </si>
  <si>
    <t>Execução de parede com placas de gesso acartonado (dry wall)
Chapa ST</t>
  </si>
  <si>
    <t>Lavabo / Área de Convivência</t>
  </si>
  <si>
    <t>Execução de parede com placas de gesso acartonado (dry wall)
Chapa RU</t>
  </si>
  <si>
    <t>I.S. Acessível Unissex / Circulação</t>
  </si>
  <si>
    <t>I.S. Acessível Unissex / Shaft</t>
  </si>
  <si>
    <t>8º pavimento</t>
  </si>
  <si>
    <t>I.S. MASC.</t>
  </si>
  <si>
    <t>I.S. MASC. / I.S. FEM.</t>
  </si>
  <si>
    <t>Execução de parede com placas de gesso acartonado (dry wall) com tratamento acústico em manta de lã de pet - CHAPA ST</t>
  </si>
  <si>
    <t>3º pavimento - Sala de Reunião / Sala de Reunião</t>
  </si>
  <si>
    <t>4° Pavimento</t>
  </si>
  <si>
    <t>Sala / Circulação</t>
  </si>
  <si>
    <t>Sala / Atendimento</t>
  </si>
  <si>
    <t>7° Pavimento</t>
  </si>
  <si>
    <t>Lounge / Sala de Reunião</t>
  </si>
  <si>
    <t>8° Pavimento</t>
  </si>
  <si>
    <t>Circulação / Sala de Trabalho</t>
  </si>
  <si>
    <t>Execução de parede com placas de gesso acartonado (dry wall) com tratamento acústico em manta de lã de pet - CHAPA RU</t>
  </si>
  <si>
    <t>I.S. / Sala Jackson</t>
  </si>
  <si>
    <t>I.S. / Administrativo</t>
  </si>
  <si>
    <t>I.S. Acessível Unissex / Lounge</t>
  </si>
  <si>
    <t>I.S. Acessível Unissex / Sala de Reunião</t>
  </si>
  <si>
    <t>I.S. Acessível Unissex / Sala de Trabalho</t>
  </si>
  <si>
    <t xml:space="preserve">Drywall existente a inserir tratamento acústico em manta de lã de pet </t>
  </si>
  <si>
    <t>Sala Jurídico e Contabilidade / DML</t>
  </si>
  <si>
    <t>Sala Jurídico e Contabilidade / Depto. Jurídico e Comunicação / Circulação</t>
  </si>
  <si>
    <t>Sala Jurídico e Contabilidade / Depto. Jurídico e Comunicação</t>
  </si>
  <si>
    <t>Depto. Jurídico e Comunicação / Diretoria</t>
  </si>
  <si>
    <t>Diretoria / Recepção</t>
  </si>
  <si>
    <t>Recepção / Sala de Reunião</t>
  </si>
  <si>
    <t>Sala de Reunião / Hall</t>
  </si>
  <si>
    <t>Recepção / Sala de Reunião / Circulação</t>
  </si>
  <si>
    <t xml:space="preserve">Regularização de contrapiso </t>
  </si>
  <si>
    <t>Cimentícios</t>
  </si>
  <si>
    <t>Recomposição do piso existente</t>
  </si>
  <si>
    <t>Administrativo</t>
  </si>
  <si>
    <t>Sala Jackson</t>
  </si>
  <si>
    <t>Sóculo em alvenaria, altura= 10cm</t>
  </si>
  <si>
    <t>Copa e Lavabo</t>
  </si>
  <si>
    <t xml:space="preserve">Lounge </t>
  </si>
  <si>
    <t>Baias de Trabalho</t>
  </si>
  <si>
    <t>Piso cerâmico</t>
  </si>
  <si>
    <t>Piso vinílico</t>
  </si>
  <si>
    <t>Piso vinílico em réguas com acabamento madeirado, dimensões 178x1219cm. Ref.: Sevilha, Linha City, marca Durafloor ou equivalente</t>
  </si>
  <si>
    <t>Proteção de piso</t>
  </si>
  <si>
    <t>Soleira</t>
  </si>
  <si>
    <t>Soleira em perfil junção no mesmo padrão do piso vinílico</t>
  </si>
  <si>
    <t>Rodapés</t>
  </si>
  <si>
    <t>Rodapé em poliestireno, h=7cm, cor branco. Ref.: Rodapé 446, cor branco, Linha Moderna, marca Santa Luzia ou equivalente</t>
  </si>
  <si>
    <t>Sala Multiuso</t>
  </si>
  <si>
    <t>Fiscalização</t>
  </si>
  <si>
    <t>Servidores Informática</t>
  </si>
  <si>
    <t>Sala</t>
  </si>
  <si>
    <t xml:space="preserve"> Atendimento</t>
  </si>
  <si>
    <t>Área esquadria</t>
  </si>
  <si>
    <t>Cerâmicos</t>
  </si>
  <si>
    <t>Porcelanato tipo tijolo rústico, dimensões 6,5x23cm, variação visual V4, com 83 faces, junta seca. Ref.: Tom Brick, linha Taylor Made Bricks, marca Portobello ou equivalente</t>
  </si>
  <si>
    <t>Porcelanato cor verde, dimensões 6,5x23cm, variação visual V1, com 6 faces, Junta seca. Ref.: Acquamarine, linha Color Market, marca Portobello ou equivalente</t>
  </si>
  <si>
    <t>ESQUADRIAS</t>
  </si>
  <si>
    <t>Portas de Madeira</t>
  </si>
  <si>
    <t>Porta de giro tipo prancheta, dimensões= 60x210cm, com miolo em lã de pet e acabamento laminado cor branco, com marco e alizar, L=7cm no mesmo acabamento. Fechadura externa tipo alavanca com acabamento cromado. Ref.: MZ 271 Standard, marca Papaiz ou equivalente</t>
  </si>
  <si>
    <t xml:space="preserve">I.S. </t>
  </si>
  <si>
    <t>Porta de giro tipo prancheta, dimensões= 80x210cm, com miolo em lã de pet e acabamento laminado cor branco, com marco e alizar, L=7cm no mesmo acabamento. Fechadura externa tipo alavanca com acabamento cromado. Ref.: MZ 271 Standard, marca Papaiz ou equivalente</t>
  </si>
  <si>
    <t>Área de Convivência / Lounge</t>
  </si>
  <si>
    <t>Porta tipo prancheta, dimensões= 100x210cm, com acabamento laminado madeirado (Noce Amendoa), com marco e alizar, L=7cm no mesmo acabamento. Fechadura externa tipo alavanca com acabamento cromado. Ref.: MZ 271 Standard, marca Papaiz ou equivalente</t>
  </si>
  <si>
    <t xml:space="preserve"> I.S. Acessível Unissex</t>
  </si>
  <si>
    <t xml:space="preserve">Fornecimento e instalação de batedor de porta </t>
  </si>
  <si>
    <t>Forro de Gesso</t>
  </si>
  <si>
    <t>Recomposição de revestimento de teto existente</t>
  </si>
  <si>
    <t>Forro de gesso acartonado</t>
  </si>
  <si>
    <t xml:space="preserve"> Fiscalização</t>
  </si>
  <si>
    <t>Forro de gesso acartonado acústico em chapas com perfuração retangular aleatório, ref.: cleaneo acústico, marca Knauf ou equivalente</t>
  </si>
  <si>
    <t xml:space="preserve">Sala Jurídico e Contabilidade </t>
  </si>
  <si>
    <t>Depto. Jurídico e Comunicação</t>
  </si>
  <si>
    <t xml:space="preserve"> Sala de Reunião (com rebaixamento 42cm - 1,70x1,70)</t>
  </si>
  <si>
    <t>Sala de Reunião (com rebaixamento 42cm - 1,70x1,70)</t>
  </si>
  <si>
    <t>Sala Multiuso (com rebaixamento 42cm)</t>
  </si>
  <si>
    <t xml:space="preserve">Copa </t>
  </si>
  <si>
    <t xml:space="preserve">Circulação </t>
  </si>
  <si>
    <t>Sobre Paredes Internas</t>
  </si>
  <si>
    <t>Execução de fundo selador acrílico em paredes</t>
  </si>
  <si>
    <t>Aplicação de massa acrílica em paredes, inclusive lixamento</t>
  </si>
  <si>
    <t>Área esquadrias</t>
  </si>
  <si>
    <t>Execução de pintura com tinta acrílica em paredes (duas demãos)</t>
  </si>
  <si>
    <t>Sobre Tetos</t>
  </si>
  <si>
    <t>Execução de pintura com tinta acrílica em tetos (duas demãos)</t>
  </si>
  <si>
    <t>BANCADA DE GRANITO</t>
  </si>
  <si>
    <t>Fornecimento e instalação de Bancada em Granito Preto São Gabriel polido nas duas faces aparentes, sem rodabanca, com testeiras h=10cm e furos para cuba de embutir em aço inóx retangular ,apoiado sobre suportes metálicos, medindo 1,83x0,60m</t>
  </si>
  <si>
    <t xml:space="preserve">Instalações </t>
  </si>
  <si>
    <t>1.11.1.2</t>
  </si>
  <si>
    <t>Considerado equipe de 1 encanador e 1 ajudante durante o período de 1 mês + 1 semana</t>
  </si>
  <si>
    <t>APARELHOS HIDROSSANITÁRIOS</t>
  </si>
  <si>
    <t>Louças</t>
  </si>
  <si>
    <t>Bacia sanitária suspensa com bomba triturado embutida, estrutura autoportante e acabamento em ABS na cor Branco, incluindo assento,  ref.: Sanicompact Comfort</t>
  </si>
  <si>
    <t>Lavatório suspenso em louça cor branco. Ref.: código L.39.17 (lavatório) e CS.39 (coluna suspensa), Linha Spot, marca Deca ou equivalente</t>
  </si>
  <si>
    <t>Bacia sanitária (cód.: P.515.17) para caixa acoplada (CDC.01F.17), com acionamento duo em louça e assento plástico AP50.17, cor branco, linha Vogue Plus Conforto, ref.: Deca ou equivalente</t>
  </si>
  <si>
    <t>Cuba de louça de semi encaixe com mesa, cor branca, dim.: 135x330x365mm. Cód.: L.733.17, ref.: Deca ou equivalente</t>
  </si>
  <si>
    <t>Metais</t>
  </si>
  <si>
    <t>Torneira de mesa com filtro Carbon Block para cozinha (corpo único), acabamento cromado. Possui arejador articulado, 1/4 de volta e regulagem de vazão. Ref.: 1140.C,Ref.: Deca ou equivalente</t>
  </si>
  <si>
    <t>Torneira de mesa com fechamento automático para lavatório, acabamento cromado, linha Decamatic Eco, cód.: 1173.C, Ref.: Deca ou equivalente</t>
  </si>
  <si>
    <t>Ducha higiênica com registro e acabamento cromado. Linha Aspen, cód.: 1984.C35.ACT,  Ref.: Deca ou equivalente</t>
  </si>
  <si>
    <t>Ralo Linear quadrado com grelha em inóx 15x15cm  Ref.: Moldenox ou equivalente</t>
  </si>
  <si>
    <t>Cuba de inóx</t>
  </si>
  <si>
    <t>Cuba retangular de embutir em aço inox AISI 430, esp.:= 0,5mm e acabamento polido, dimensões= 47x30x14cm, linha Lavínia, código 94083506, ref.: Tramontina ou equivalente</t>
  </si>
  <si>
    <t>Barra de apoio em aço inox L=80cm, linha Conforto, cód.: 2310.I.080.Pol., Ref: Deca ou equivalente</t>
  </si>
  <si>
    <t>Barra de apoio em aço inox L=70cm, linha Conforto, cód.: 2310.I.070.Pol., Ref.: Deca ou equivalente</t>
  </si>
  <si>
    <t>Barra de apoio em aço inox L=40cm, linha Conforto, cód.: 2310.I.040.Pol.,  Ref.: Deca ou equivalente</t>
  </si>
  <si>
    <t>Acessórios</t>
  </si>
  <si>
    <t>Lixeira inóx com aro e com tampa tipo báscula 12,0 L, linha Decorline, Ref: Brinox ou equivalente</t>
  </si>
  <si>
    <t>Equipe de Mão-de-Obra para execução das instalações elétricas e cabeamento estruturado, conforme  projeto específico</t>
  </si>
  <si>
    <t>Botão de Alarme</t>
  </si>
  <si>
    <t>Luminárias</t>
  </si>
  <si>
    <t>Arandela</t>
  </si>
  <si>
    <t>Tela Tensionada</t>
  </si>
  <si>
    <t>Equipamentos</t>
  </si>
  <si>
    <t>Instalação</t>
  </si>
  <si>
    <t>Extintores</t>
  </si>
  <si>
    <t xml:space="preserve">Extintor de incêndio tipo gás carbônico (CO2) </t>
  </si>
  <si>
    <t>3º /4º/7º e 8º  Pavimentos</t>
  </si>
  <si>
    <t>Extintor de incêndio tipo pó químico seco (PQS)</t>
  </si>
  <si>
    <t>Iluminação de emergência</t>
  </si>
  <si>
    <t>Luminária autônoma de emergência</t>
  </si>
  <si>
    <t>Placa de sinalização S1 DIREITA</t>
  </si>
  <si>
    <t>Placa de sinalização S2 ESQUERDA</t>
  </si>
  <si>
    <t>Placa de sinalização S3</t>
  </si>
  <si>
    <t>Placa de sinalização de equipamento</t>
  </si>
  <si>
    <t>Janelas</t>
  </si>
  <si>
    <t>Sala Jackson / I.S.</t>
  </si>
  <si>
    <t>Portas Metálicas</t>
  </si>
  <si>
    <t>Espelho</t>
  </si>
  <si>
    <t>Espelho, espessura= 4mm, medindo 0,60x1,30m</t>
  </si>
  <si>
    <t>Espelho, espessura= 4mm, medindo 0,60x0,90m</t>
  </si>
  <si>
    <t>Quadro de vidro</t>
  </si>
  <si>
    <t>QVI - Quadro em vidro branco temperado 8mm com suporte para apagador, fixação com botão francês. Dim.: 450x120cm.</t>
  </si>
  <si>
    <t>PAINEL ACUSTICO</t>
  </si>
  <si>
    <t>PAINÉIS E PORTAS MARELLI</t>
  </si>
  <si>
    <t>Portas de vidro</t>
  </si>
  <si>
    <t>Salas de Reunião</t>
  </si>
  <si>
    <t>Refeitório</t>
  </si>
  <si>
    <t>CRO - Cortina rolô solar semi-translúcida em toda a extensão da janela. Composição: 69% fibra de vidro e 64% PVC. Trama 16 fios/cm, urdume 27 fios/cm espessura 0,64mm. Ref.: marca Hunter Douglas ou equivalente</t>
  </si>
  <si>
    <t>Área de convivência</t>
  </si>
  <si>
    <t>Baias de trabalho</t>
  </si>
  <si>
    <t>LIMPEZA FINAL</t>
  </si>
  <si>
    <t>Limpeza final de obra</t>
  </si>
  <si>
    <t>TAXA</t>
  </si>
  <si>
    <t>1.17.3</t>
  </si>
  <si>
    <t>COMPRIMENTO</t>
  </si>
  <si>
    <t>Instalação do sistema de climatização, composto por: 2 condicionadoras tipo Cassete, inverter - 34.000 BTU's/H, 3 condicionadoras tipo Cassete, inverter - 18.000 BTU's/H, 2 condicionadoras tipo Split Hiwall, inverter - 24.000 BTU's/H, 2 condicionadoras tipo Split Hiwall, inverter - 18.000 BTU's/H, 5 condicionadoras tipo Split Hiwall, inverter - 12.000 BTU's/H e 9 condicionadoras tipo Split Hiwall, inverter - 9.000 BTU's/H, ref.: LG, inclusive fornecimento e lançamento de linhas frigorígenas, suportes metálicos para instalação das condensadoras, suportes emborrachados para evitar vibração e demais itens necessários para total implantação do projeto. Exclusive fornecimento dos aparelhos de ar condicionado. Conforme especificado no projeto de climatização</t>
  </si>
  <si>
    <t>1.17.2.2</t>
  </si>
  <si>
    <t>1.17.2.1</t>
  </si>
  <si>
    <t>Fornecimento de equipamentos para o sistema de climatização, conforme projeto (composto por: 2 condicionadoras tipo Cassete, inverter - 34.000 BTU's/H, 3 condicionadoras tipo Cassete, inverter - 18.000 BTU's/H, 2 condicionadoras tipo Split Hiwall, inverter - 24.000 BTU's/H, 2 condicionadoras tipo Split Hiwall, inverter - 18.000 BTU's/H, 5 condicionadoras tipo Split Hiwall, inverter - 12.000 BTU's/H e 9 condicionadoras tipo Split Hiwall, inverter - 9.000 BTU's/H, Ref.: LG - Conforme especificado em projeto de climatização.</t>
  </si>
  <si>
    <t>Fornecimento e montagem de sistema de forro de gesso acartonado acústico em chapas com perfuração retangular aleatório, ref.: cleaneo acústico, marca Knauf ou equivalente incluindo linha de sombra, tipo junta de dilatação (tabica) de 3x3cm, fixados na laje</t>
  </si>
  <si>
    <t>Recomposição de forro em gesso acartonado (placa branca), constituída de placas ST (standard), incluindo linha de sombra, tipo junta de dilatação (tabica) de 3x3cm, fixados na laje</t>
  </si>
  <si>
    <t>Fornecimento e instalação de Tapume madeira compensada resinada e= 12mm h=2,20m, estrutura c/ madeira de reflorestamento, incluindo montantes, pintura esmalte sintético a definir</t>
  </si>
  <si>
    <t>Recomposição de reboco tipo paulista de argamassa de cimento, cal hidratada CH1 e areia lavada traço 1:0.5:6, espessura 25 mm - alvenaria existente com anomalias e imperfeições</t>
  </si>
  <si>
    <t>CORTINA</t>
  </si>
  <si>
    <t>1.1.1.2</t>
  </si>
  <si>
    <t>Cópias e plotagens</t>
  </si>
  <si>
    <t>1.1.5.1</t>
  </si>
  <si>
    <t xml:space="preserve">Fornecimento e assentamento de Porcelanato tipo tijolo rústico, dimensões 6,5x23cm, variação visual V4, com 83 faces, junta seca. Ref.: Tom Brick, linha Taylor Made Bricks, marca Portobello ou equivalente, inclusive argamassa de cimento colante </t>
  </si>
  <si>
    <t>Aplicação de fundo selador acrílico a uma demão, Ref.:  Suvinil ou similar</t>
  </si>
  <si>
    <t xml:space="preserve">Pintura de parede em tinta látex acrílica na cor a definir, ref.: Suvinil ou similar, a duas demãos </t>
  </si>
  <si>
    <t>Emassamento de paredes com duas demãos de massa a base de PVA acrílica, Ref.:  Suvinil ou similar</t>
  </si>
  <si>
    <t>Emassamento de teto com duas demãos de massa a base de PVA, Ref.: Suvinil ou similar</t>
  </si>
  <si>
    <t xml:space="preserve">Pintura de parede em tinta látex acrílica fosca, na cor: Branco Neve, ref.: Suvinil ou similar, a duas demãos </t>
  </si>
  <si>
    <t>1.15.1.3</t>
  </si>
  <si>
    <t>Fornecimento dos materiais para execução de cabeamento estruturado</t>
  </si>
  <si>
    <t xml:space="preserve">COTAÇÃO </t>
  </si>
  <si>
    <t>Fornecimento e instalação de barrado de proteção anti-impacto, instalado na em uma face da porta, na parte inferior, para atendimento a NBR 9050/15 - WC PNE</t>
  </si>
  <si>
    <t>1.8.4.2</t>
  </si>
  <si>
    <t>12.22.1.2</t>
  </si>
  <si>
    <t>12.22.1.3</t>
  </si>
  <si>
    <t>Sala de Reunião 1</t>
  </si>
  <si>
    <t>Sala de Reunião 2</t>
  </si>
  <si>
    <t>3º Pavimento - Salas de Reunião 1 e 2</t>
  </si>
  <si>
    <t>7º Pavimento - Refeitório</t>
  </si>
  <si>
    <t>1.22.4</t>
  </si>
  <si>
    <t>8º Pavimento - Sala de Trabalho</t>
  </si>
  <si>
    <t>1.22.5</t>
  </si>
  <si>
    <t>1.22.4.1</t>
  </si>
  <si>
    <t>1.22.2.3</t>
  </si>
  <si>
    <t>1.22.4.2</t>
  </si>
  <si>
    <t>1.22.5.1</t>
  </si>
  <si>
    <t>1.22.5.2</t>
  </si>
  <si>
    <t>3º PAVIMENTO - SALA DE REUNIÃO 1 E 2</t>
  </si>
  <si>
    <t>7º PAVIMENTO - REFEITÓRIO</t>
  </si>
  <si>
    <t>7º PAVIMENTO - SALA DE REUNIÃO</t>
  </si>
  <si>
    <t>8º PAVIMENTO - SALA DE TRABALHO</t>
  </si>
  <si>
    <t>8º PAVIMENTO - SALA DE REUNIÃO 1 E 2</t>
  </si>
  <si>
    <t>1.23.2.1</t>
  </si>
  <si>
    <t>1.23.3</t>
  </si>
  <si>
    <t>7º Pavimento -  Área de Convivência</t>
  </si>
  <si>
    <t>8º Pavimento -  Baias de Trabalho</t>
  </si>
  <si>
    <t>1.23.1.3</t>
  </si>
  <si>
    <t>7º Pavimento -  Copa</t>
  </si>
  <si>
    <t>1.23.4</t>
  </si>
  <si>
    <t>1.23.4.1</t>
  </si>
  <si>
    <t>1.23.3.1</t>
  </si>
  <si>
    <t>7º Pavimento -  Lounge</t>
  </si>
  <si>
    <t>1.23.5</t>
  </si>
  <si>
    <t>1.23.5.1</t>
  </si>
  <si>
    <t xml:space="preserve">7º Pavimento - Sala de Reunião </t>
  </si>
  <si>
    <t xml:space="preserve">Bancada em MDF esp.= 18mm, com revestimento em ambas as faces em  laminado melamínico madeirado e acabamento com fita de borda, apoiado sobre suportes metálicos, medindo 3,66x0,65m. Ref.: Jequitibá Rosa, marca Duratéx ou equivalente </t>
  </si>
  <si>
    <t xml:space="preserve">Armário superior em MDF esp.= 18mm, c/ revestimento laminado em todas as faces externas, ref.: Cinza Sagrado, marca Duratex,  acabamento c/ fita de borda e puxadores tipo cava, incluindo revestimento interno e prateleiras intermediárias apoiada sobre suportes de forma a permitir sua remoção, em laminado, ref.: Branco, marca Duratex, medindo 2,16x0,60m, h=0,60m </t>
  </si>
  <si>
    <t xml:space="preserve">Armário inferior em MDF esp.= 18mm, c/ revestimento laminado em todas as faces externas e sóculo, ref.: Cinza Sagrado, marca Duratex,  acabamento c/ fita de borda e puxadores tipo cava, incluindo revestimento interno e prateleiras intermediárias apoiada sobre suportes de forma a permitir sua remoção, em laminado, ref.: Branco, marca Duratex, medindo 2,16x0,60m, h=0,60m </t>
  </si>
  <si>
    <t>1,00x2,10m - assentamento em parede L= 7cm</t>
  </si>
  <si>
    <t>Fornecimento e instalação de Extintor de incêndio tipo gás carbônico (CO2) 5-B:C</t>
  </si>
  <si>
    <t>Fornecimento e instalação de Extintor de incêndio tipo pó químico seco (PQS) 4-A:40-B:C</t>
  </si>
  <si>
    <t>1.21.3</t>
  </si>
  <si>
    <t>1.21.3.1</t>
  </si>
  <si>
    <t xml:space="preserve">Divisórias de MDF  </t>
  </si>
  <si>
    <t>1.23.2.2</t>
  </si>
  <si>
    <t xml:space="preserve">Armário em MDF esp.= 18mm, c/ revestimento laminado em todas as faces externas e sóculo, ref.: Cinza Sagrado, marca Duratex,  acabamento c/ fita de borda e puxadores tipo cava, incluindo revestimento interno e prateleiras intermediárias apoiada sobre suportes de forma a permitir sua remoção, em laminado, ref.: Branco, marca Duratex, medindo 1,06x0,45m, h=2,5m </t>
  </si>
  <si>
    <t>1.23.3.2</t>
  </si>
  <si>
    <t>1.23.3.3</t>
  </si>
  <si>
    <t xml:space="preserve">Bancada em MDF esp.= 18mm, com revestimento em ambas as faces em  laminado melamínico madeirado e acabamento com fita de borda, apoiado sobre suportes metálicos, medindo 1,80x0,75m. Ref.: Cinza Sagrado, marca Duratéx ou equivalente </t>
  </si>
  <si>
    <t>1.23.3.4</t>
  </si>
  <si>
    <t>Bancada tipo armário em MDF esp.= 18mm, com revestimento em ambas as faces externas em  laminado melamínico Cinza Sagrado e acabamento com fita de borda, incluindo revestimento interno e prateleiras intermediárias apoiada sobre suportes de forma a permitir sua remoção, em laminado, ref.: Branco, marca Duratex, medindo 1,92x0,46m</t>
  </si>
  <si>
    <t>Armário superior em MDF esp.= 18mm, com revestimento em ambas as faces externas em  laminado melamínico, cor Verde Real e acabamento com fita de borda, incluindo revestimento interno e prateleiras intermediárias apoiada sobre suportes de forma a permitir sua remoção, em laminado, ref.: Branco, marca Duratex, medindo 3,78x0,60m, h=0,60m</t>
  </si>
  <si>
    <t>1.23.4.2</t>
  </si>
  <si>
    <t>1.23.4.3</t>
  </si>
  <si>
    <t>Armário tipo torre quente em MDF esp.= 18mm, com revestimento em ambas as faces externas em  laminado melamínico, cor Cinza Sagrado e acabamento com fita de borda, incluindo revestimento interno e prateleiras intermediárias apoiada sobre suportes de forma a permitir sua remoção, em laminado, ref.: Branco, marca Duratex, medindo 0,84x0,60m, h=1,85m</t>
  </si>
  <si>
    <t>1.23.4.4</t>
  </si>
  <si>
    <t>Armário tipo torre em MDF esp.= 18mm, com revestimento em ambas as faces externas em  laminado melamínico, cor Cinza Sagrado e acabamento com fita de borda, incluindo revestimento interno e prateleiras intermediárias apoiada sobre suportes de forma a permitir sua remoção, em laminado, ref.: Branco, marca Duratex, medindo 0,42x0,35m, h=1,85m</t>
  </si>
  <si>
    <t>PAINÉIS DE VIDRO</t>
  </si>
  <si>
    <t>PORTAS DE VIDRO</t>
  </si>
  <si>
    <t>Painéis de Vidro</t>
  </si>
  <si>
    <t>DIVISÓRIAS DE MDF</t>
  </si>
  <si>
    <t>DV03 - Fornecimento e instalação de Divisória piso-teto em mdf com revestimento laminado melamínico cor/textura concreto. Esp=2,5cm. Ref.: Lunar, marca Duratex ou equivalente</t>
  </si>
  <si>
    <t>DV04 - Painel acústico h=130cm em lã de vidro aglomerada com resina sintética revestido em tecido em ambas as faces na cor prata. Ref.: Painel  Sonare, marca Isover ou equivalente</t>
  </si>
  <si>
    <t>DV05 - Fornecimento e instalação de Divisória piso-teto retrátil/articulado em MDF esp.=25mm, acabamento laminado, com trilho superior fixado no forro, permitindo recolhimento total das placas, ref.: Cinza Sagrado, marca Duratéx ou equivalente</t>
  </si>
  <si>
    <t>DV03 - Divisória piso-teto em mdf com revestimento laminado melamínico cor/textura concreto. Esp=2,5cm. Ref.: Lunar, marca Duratex ou equival.</t>
  </si>
  <si>
    <t>DV05 - Divisória piso-teto retrátil/articulado em MDF esp.=25mm, acabamento laminado, com trilho superior fixado no forro, permitindo recolhimento total das placas, ref.: Cinza Sagrado, marca Duratéx ou equivalente</t>
  </si>
  <si>
    <t>1.23.5.2</t>
  </si>
  <si>
    <t>Armário  em MDF esp.= 18mm, com revestimento em ambas as faces externas em  laminado melamínico, cor Cinza Sagrado e acabamento com fita de borda, incluindo revestimento interno e prateleiras intermediárias apoiada sobre suportes de forma a permitir sua remoção, em laminado, ref.: Branco, marca Duratex, medindo 6,04x0,52m, h=2,50m</t>
  </si>
  <si>
    <t>Armário superior em MDF esp.= 18mm, c/ revestimento laminado em todas as faces externas, ref.: Cinza Sagrado, marca Duratex,  acabamento c/ fita de borda e puxadores tipo cava, incluindo revestimento interno e prateleiras intermediárias apoiada sobre suportes de forma a permitir sua remoção, em laminado, ref.: Branco, marca Duratex, medindo 2,16x0,60m, h=0,60m</t>
  </si>
  <si>
    <t>Armário inferior em MDF esp.= 18mm, c/ revestimento laminado em todas as faces externas e sóculo, ref.: Cinza Sagrado, marca Duratex,  acabamento c/ fita de borda e puxadores tipo cava, incluindo revestimento interno e prateleiras intermediárias apoiada sobre suportes de forma a permitir sua remoção, em laminado, ref.: Branco, marca Duratex, medindo 2,16x0,60m, h=0,60m</t>
  </si>
  <si>
    <t>7º PAVIMENTO - LOUNGE</t>
  </si>
  <si>
    <t>7º PAVIMENTO - ÁREA DE CONVIVÊNCIA</t>
  </si>
  <si>
    <t>Bancada em MDF esp.= 18mm, com revestimento em ambas as faces em  laminado melamínico madeirado e acabamento com fita de borda, apoiado sobre suportes metálicos, medindo 1,80x0,75m. Ref.: Cinza Sagrado, marca Duratéx ou equivalente</t>
  </si>
  <si>
    <t>7º PAVIMENTO - COPA</t>
  </si>
  <si>
    <t>8º PAVIMENTO - BAIAS DE TRABALHO</t>
  </si>
  <si>
    <t>SERVIÇOS PRELIMINARES</t>
  </si>
  <si>
    <t>Tapumes</t>
  </si>
  <si>
    <t>entulho gerado no período da obra</t>
  </si>
  <si>
    <t>Taxas e Recolhimentos</t>
  </si>
  <si>
    <t>pç</t>
  </si>
  <si>
    <t>PVC rígido soldável</t>
  </si>
  <si>
    <t>Caixas</t>
  </si>
  <si>
    <t>Eletroduto PVC flexível</t>
  </si>
  <si>
    <t>1.5.2</t>
  </si>
  <si>
    <t>Quadro de Distribuição</t>
  </si>
  <si>
    <t>Interruptor bipolar DR (fase/neutro - In 30mA) - DIN - 25A</t>
  </si>
  <si>
    <t>Tubo de pvc rígido soldável marrom - Ø40mm</t>
  </si>
  <si>
    <t>Tubo de pvc rígido soldável marrom - Ø25mm</t>
  </si>
  <si>
    <t>Abraçadeira p/ fixação das tubulação aéreas, tipo gota - Ø40 mm</t>
  </si>
  <si>
    <t>Abraçadeira p/ fixação das tubulação aéreas, tipo gota - Ø25 mm</t>
  </si>
  <si>
    <t xml:space="preserve">Bucha de redução longa pvc soldável - Ø40x25mm </t>
  </si>
  <si>
    <t>Curva pvc soldável marrom 45° - Ø40mm</t>
  </si>
  <si>
    <t>Curva pvc soldável marrom 45° - Ø25mm</t>
  </si>
  <si>
    <t>Joelho pvc soldável marrom 90° - Ø25mm</t>
  </si>
  <si>
    <t>União pvc soldável marrom 90° - Ø25mm</t>
  </si>
  <si>
    <t xml:space="preserve">PVC branco </t>
  </si>
  <si>
    <t>Caixas e conexões</t>
  </si>
  <si>
    <t>Caixa de gordura PVC ø295x449x75mm</t>
  </si>
  <si>
    <t>Caixa sifonada com grelha PVC ø150x150x150mm</t>
  </si>
  <si>
    <t>Ralo caixa seca PVC ø100X40mm</t>
  </si>
  <si>
    <t>Válvula de admissão de ar PVC ø50mm</t>
  </si>
  <si>
    <t>Tubo de pvc rígido soldável marrom - Ø32mm - 25,50m</t>
  </si>
  <si>
    <t>Curva longa 90° PVC branco - Ø100mm</t>
  </si>
  <si>
    <t>Curva 45° PVC branco - Ø100mm</t>
  </si>
  <si>
    <t>Curva 45° PVC branco - Ø75mm</t>
  </si>
  <si>
    <t>Curva 45° PVC branco - Ø50mm</t>
  </si>
  <si>
    <t>Curva 45° PVC branco - Ø40mm</t>
  </si>
  <si>
    <t>Curva 45° PVC rígido soldável marrom - Ø32mm</t>
  </si>
  <si>
    <t>Joelho 90° PVC rígido soldável marrom - Ø32mm</t>
  </si>
  <si>
    <t>Joelho 90° PVC branco - Ø100mm</t>
  </si>
  <si>
    <t>Joelho 90° PVC branco - Ø50mm</t>
  </si>
  <si>
    <t>Joelho 90° PVC branco - Ø40mm</t>
  </si>
  <si>
    <t>Bucha de redução soldável 50mm-32mm</t>
  </si>
  <si>
    <t>Luva de redução PVC rígido soldável marrom - Ø40x32mm</t>
  </si>
  <si>
    <t>Luva de redução PVC rígido soldável marrom - Ø40x25mm</t>
  </si>
  <si>
    <t>Tubo pvc esgoto branco com ponta/bolsa e virola -Ø100mm (4")</t>
  </si>
  <si>
    <t>Tubo pvc esgoto branco com ponta/bolsa e virola -Ø50mm (2")</t>
  </si>
  <si>
    <t>Luva de redução pvc esgoto branco - Ø50x40mm</t>
  </si>
  <si>
    <t>Bucha de redução pvc esgoto branco - Ø50x40mm</t>
  </si>
  <si>
    <t>União pvc esgoto branco - Ø100mm</t>
  </si>
  <si>
    <t>União pvc esgoto branco - Ø40mm</t>
  </si>
  <si>
    <t>Tê 90º pvc esgoto branco - Ø75mm</t>
  </si>
  <si>
    <t>Tê 90º pvc esgoto branco - Ø50mm</t>
  </si>
  <si>
    <t>Junção simples pvc esgoto branco - Ø100mm-Ø50mm</t>
  </si>
  <si>
    <t>Junção simples pvc esgoto branco - Ø100mm-Ø100mm</t>
  </si>
  <si>
    <t>Junção simples pvc esgoto branco - Ø100mm-Ø75mm</t>
  </si>
  <si>
    <t>Junção simples pvc esgoto branco - Ø40mm-Ø40mm</t>
  </si>
  <si>
    <t>Junção invertida pvc esgoto branco - Ø100mm-Ø100mm</t>
  </si>
  <si>
    <t>Junção invertida pvc esgoto branco - Ø75mm-Ø50mm</t>
  </si>
  <si>
    <t>Tubo pvc esgoto branco com ponta/bolsa e virola -Ø40mm (1 1/2")</t>
  </si>
  <si>
    <t>Cabo de cobre singelo, 750V, CL5, extra flexível, isolaçção em pvc chumbo - seção 2,5mm² - azul claro</t>
  </si>
  <si>
    <t>Cabo de cobre singelo, 750V, CL5, extra flexível, isolaçção em pvc chumbo - seção 2,5mm² - branco</t>
  </si>
  <si>
    <t>Cabo de cobre singelo, 750V, CL5, extra flexível, isolaçção em pvc chumbo - seção 2,5mm² - preto</t>
  </si>
  <si>
    <t>Cabo de cobre singelo, 750V, CL5, extra flexível, isolaçção em pvc chumbo - seção 2,5mm² - verde</t>
  </si>
  <si>
    <t>Cabo de cobre singelo, 750V, CL5, extra flexível, isolaçção em pvc chumbo - seção 2,5mm² - vermelho</t>
  </si>
  <si>
    <t>Cabo de cobre singelo, 750V, CL5, extra flexível, isolaçção em pvc chumbo - seção 2,5mm² - amarelo</t>
  </si>
  <si>
    <t>Cabo de potência 0,6/1kV, temperatura de serviço 90°C, 3 condutores, CL5 (flexível) - seção 1,5mm²</t>
  </si>
  <si>
    <t>Cabo de potência 0,6/1kV, temperatura de serviço 90°C, 3 condutores, CL5 (flexível) - seção 2,5mm²</t>
  </si>
  <si>
    <t>Cabo de potência 0,6/1kV, temperatura de serviço 90°C, 3 condutores, CL5 (flexível) - seção 10,0mm²</t>
  </si>
  <si>
    <t>Cabo de cobre singelo, 750V, CL5, extra flexível, isolaçção em pvc chumbo - seção 4,0mm² - azul claro</t>
  </si>
  <si>
    <t>Cabo de cobre singelo, 750V, CL5, extra flexível, isolaçção em pvc chumbo - seção 4,0mm² - branco</t>
  </si>
  <si>
    <t>Cabo de cobre singelo, 750V, CL5, extra flexível, isolaçção em pvc chumbo - seção 4,0mm² - preto</t>
  </si>
  <si>
    <t>Cabo de cobre singelo, 750V, CL5, extra flexível, isolaçção em pvc chumbo - seção 4,0mm² - verde</t>
  </si>
  <si>
    <t>Cabo de cobre singelo, 750V, CL5, extra flexível, isolaçção em pvc chumbo - seção 6,0mm² - azul claro</t>
  </si>
  <si>
    <t>Cabo de cobre singelo, 750V, CL5, extra flexível, isolaçção em pvc chumbo - seção 6,0mm² - branco</t>
  </si>
  <si>
    <t>Cabo de cobre singelo, 750V, CL5, extra flexível, isolaçção em pvc chumbo - seção 6,0mm² - preto</t>
  </si>
  <si>
    <t>Cabo de cobre singelo, 750V, CL5, extra flexível, isolaçção em pvc chumbo - seção 6,0mm² - verde</t>
  </si>
  <si>
    <t xml:space="preserve">Cabos </t>
  </si>
  <si>
    <t>Caixa de passagem em chapa de aço de aço#18, galvanizada com tampa aparafusada, 20x20x10cm</t>
  </si>
  <si>
    <t>Caixa de passagem em chapa de aço de aço#18, galvanizada com tampa aparafusada, 40x40x15cm</t>
  </si>
  <si>
    <t>Caixa de embutir em gesso acartonado 4X2"</t>
  </si>
  <si>
    <t xml:space="preserve">Caixa de tomada CX44ALL - para mesa de escritório </t>
  </si>
  <si>
    <t>Caixa de tomada CX04FN - para mesa de escritório</t>
  </si>
  <si>
    <t>Eletroduto rígido em aço galvanizado eletrolítico tipo leve Ø3/4" (vara 3,00m)</t>
  </si>
  <si>
    <t>Eletroduto rígido em aço galvanizado eletrolítico tipo leve Ø1" (vara 3,00m)</t>
  </si>
  <si>
    <t>Eletroduto rígido em aço galvanizado eletrolítico tipo leve Ø1 1/4" (vara 3,00m)</t>
  </si>
  <si>
    <t>Eletroduto rígido em aço galvanizado eletrolítico tipo leve Ø1 1/2" (vara 3,00m)</t>
  </si>
  <si>
    <t>Eletroduto rígido em aço galvanizado eletrolítico tipo leve Ø2" (vara 3,00m)</t>
  </si>
  <si>
    <t>Eletroduto rígido em aço galvanizado eletrolítico tipo leve Ø4" (vara 3,00m)</t>
  </si>
  <si>
    <t>Eletroduto de aço galvanizado</t>
  </si>
  <si>
    <t xml:space="preserve">Eletroduto pvc flexível Ø3/4" </t>
  </si>
  <si>
    <t xml:space="preserve">Eletroduto pvc flexível Ø1" </t>
  </si>
  <si>
    <t>Canaleta em pvc, ref.: HD2P-30x30mm</t>
  </si>
  <si>
    <t>Conduletes e canaleta</t>
  </si>
  <si>
    <t>Condulete em alumínio, tipo "X", Ø=3/4"</t>
  </si>
  <si>
    <t>Condulete em alumínio, tipo "X", Ø=1"</t>
  </si>
  <si>
    <t>Condulete em alumínio, tipo "X", Ø=1 1/4"</t>
  </si>
  <si>
    <t>Conexões para eletroduto</t>
  </si>
  <si>
    <t>Acessórios para eletroduto</t>
  </si>
  <si>
    <t>Curva 90º de aço galvanizado eletrolítico tipo leve Ø3/4"</t>
  </si>
  <si>
    <t>Curva 90º de aço galvanizado eletrolítico tipo leve Ø1"</t>
  </si>
  <si>
    <t>Curva 90º de aço galvanizado eletrolítico tipo leve Ø4"</t>
  </si>
  <si>
    <t>Luva de aço galvanizado eletrolítico tipo leve Ø3/4"</t>
  </si>
  <si>
    <t>Braçadeira com cunha cônica para fixação de eletroduto Ø3/4"</t>
  </si>
  <si>
    <t>Braçadeira com cunha cônica para fixação de eletroduto Ø1"</t>
  </si>
  <si>
    <t>Braçadeira com cunha cônica para fixação de eletroduto Ø1 1/4"</t>
  </si>
  <si>
    <t>Braçadeira com cunha cônica para fixação de eletroduto Ø1 1/2"</t>
  </si>
  <si>
    <t>Braçadeira com cunha cônica para fixação de eletroduto Ø4"</t>
  </si>
  <si>
    <t>Eletrocalha perfurada, aba de 50mm, largura de 100mm (barra com 3,00m)</t>
  </si>
  <si>
    <t>Curva horizontal 90° para eletrocalha perfurada, com virola, h= 50mm, raio=200mm, largura=100mm</t>
  </si>
  <si>
    <t>Junção Galvanizada "T" para perfilado Galvanizado 38x38mm</t>
  </si>
  <si>
    <t>Junção Galvanizada de Emenda "X" Perfilado 38x38mm</t>
  </si>
  <si>
    <t>Junção Galvanizada de Emenda "I" Perfilado 38x38mm</t>
  </si>
  <si>
    <t>Terminal para eletrocalha, com saída 38x38mm, h=100mm, largura=100mm</t>
  </si>
  <si>
    <t>Saída horizontal para eletrodutos, Ø=3/4"</t>
  </si>
  <si>
    <t>Saída horizontal para eletrodutos, Ø=1"</t>
  </si>
  <si>
    <t>Saída horizontal para eletrodutos, Ø=1 1/2"</t>
  </si>
  <si>
    <t>Perfilado perfurado, 38x38mm, (barra com 6,00m)</t>
  </si>
  <si>
    <t>Eletrocalha, perfilados e conexões</t>
  </si>
  <si>
    <t>Acessórios para eletrocalha e perfilados</t>
  </si>
  <si>
    <t>Porca sextavada Ø=1/4"</t>
  </si>
  <si>
    <t>Arruela lisa circular Ø=3/8"</t>
  </si>
  <si>
    <t>Arruela lisa circular Ø=1/4"</t>
  </si>
  <si>
    <t>Porca sextavada Ø=3/8"</t>
  </si>
  <si>
    <t>Parabolt Cone e Jaqueta 3/8"</t>
  </si>
  <si>
    <t>Parabolt Cone e Jaqueta 1/4"</t>
  </si>
  <si>
    <t>Gancho curto para perfilado de 38x100mm</t>
  </si>
  <si>
    <t>Vergalhão rosca total, Ø=1/4", vara com 3,00m</t>
  </si>
  <si>
    <t>Vergalhão rosca total, Ø=3/8", vara com 3,00m</t>
  </si>
  <si>
    <t>Tomadas e interruptores</t>
  </si>
  <si>
    <t xml:space="preserve">Conjunto de tomada monofásica 2P+T, 10A, 250V, padrão NBR 14136, para caixa 4x2" </t>
  </si>
  <si>
    <t xml:space="preserve">Conjunto com 2 tomada monofásica 2P+T, 10A, 250V, padrão NBR 14136, para caixa 4x2" </t>
  </si>
  <si>
    <t>Tomada monofásica 2P+T, 10A, 250V, padrão NBR 14136, para condulete tipo "C"</t>
  </si>
  <si>
    <t>Interruptor simples de 1 tecla, 10A - 250V, para embutir em caixa 4"x2"</t>
  </si>
  <si>
    <t>Interruptor simples de 2 teclas, 10A - 250V, para embutir em caixa 4"x2"</t>
  </si>
  <si>
    <t>Interruptor simples de 3 teclas, 10A - 250V, para embutir em caixa 4"x2"</t>
  </si>
  <si>
    <t xml:space="preserve">Conjunto de 1 interruptor simples de 1 tecla, 10A - 250V e 1 tomada monofásica 2P+T, 10A, 250V, padrão NBR 14136, para caixa 4x2" </t>
  </si>
  <si>
    <t>Acessórios (fita isolante, marcadores, terminais, etc)</t>
  </si>
  <si>
    <t>Barra de terra seção 12x2mm</t>
  </si>
  <si>
    <t>Disjuntor Tripolar Termomagnético - norma DIN (Curva C) - 100A</t>
  </si>
  <si>
    <t>Dispositivo de proteção contra surto - 275V - 22kA</t>
  </si>
  <si>
    <t>Barramento de cobre eletrolítico 3F+V, 220V, 60Hz, seção 12x2mm</t>
  </si>
  <si>
    <t>Disjuntor Tripolar Termomagnético - norma DIN (Curva C) - 50A</t>
  </si>
  <si>
    <t xml:space="preserve">Disjuntor Bipolar Termomagnético - norma DIN (Curva C) - 6A </t>
  </si>
  <si>
    <t xml:space="preserve">Disjuntor Bipolar Termomagnético - norma DIN (Curva C) - 20A </t>
  </si>
  <si>
    <t>Disjuntor Bipolar Termomagnético - norma DIN (Curva C) - 25A</t>
  </si>
  <si>
    <t>Disjuntor Bipolar Termomagnético - norma DIN (Curva C) - 32A</t>
  </si>
  <si>
    <t>Disjuntor Unipolar Termomagnético - norma DIN (Curva C) - 16A</t>
  </si>
  <si>
    <t xml:space="preserve">Disjuntor Unipolar Termomagnético - norma DIN (Curva C) - 20A </t>
  </si>
  <si>
    <t xml:space="preserve">Disjuntor Unipolar Termomagnético - norma DIN (Curva C) - 32A </t>
  </si>
  <si>
    <t>Interruptor unipolar DR (fase/neutro - In 30mA) - DIN - 25A</t>
  </si>
  <si>
    <t>Quadro de distribuição de circuitos de sobrepor para 14 dijsuntores (QDC 4º Pavto) - conforme diagrama unifilar no projeto 100.EL.IL.CRN.05.REV02</t>
  </si>
  <si>
    <t>Quadro de distribuição de circuitos de sobrepor para 32 disjuntores (QDC 3º Pavto) - conforme diagrama unifilar no projeto 100.EL.IL.CRN.05.REV01</t>
  </si>
  <si>
    <t>Quadro de distribuição de circuitos de sobrepor para 28 disjuntores (QDC 7º Pavto) - conforme diagrama unifilar no projeto 100.EL.IL.CRN.05.REV03</t>
  </si>
  <si>
    <t>Quadro de distribuição de circuitos de sobrepor para 28 disjuntores (QDC 8º Pavto) - conforme diagrama unifilar no projeto 100.EL.IL.CRN.05.REV04</t>
  </si>
  <si>
    <t>Tomada simples RJ-45, montada em caixa de pvc (4"x2")</t>
  </si>
  <si>
    <t>Tomada duplas RJ-45, montada em caixa de pvc (4"x2")</t>
  </si>
  <si>
    <t>Tomada simples RJ-45, montada em condulete tipo "C", Ø3/4"</t>
  </si>
  <si>
    <t xml:space="preserve">Eletroduto pvc flexível Ø1 1/2" </t>
  </si>
  <si>
    <t>Condulete em alumínio, tipo "C", Ø=3/4"</t>
  </si>
  <si>
    <t>Condulete em alumínio, tipo "X", Ø=1 1/2"</t>
  </si>
  <si>
    <t>Saída final para eletroduto, Ø=1"</t>
  </si>
  <si>
    <t>Gabrinte 19", com uma lateral para montagem conjugada porta traseira em aço, porta frontal em acrílico 16U L=562, P=650 (externo), ref.: Triunfo 19" Plus, kit de ventilação superior c/ 2 ventiladores - conforme projeto 100.EL.TL.CRN.01</t>
  </si>
  <si>
    <t>Gabrinte 19", com uma lateral para montagem conjugada porta traseira em aço, porta frontal em acrílico 12U L=562, P=650 (externo), ref.: Triunfo 19" Plus, kit de ventilação superior c/ 2 ventiladores - fixado na parede - conforme projeto 100.EL.TL.CRN.01</t>
  </si>
  <si>
    <t>Rack 2P Aberto 19" 45U, ref.: Itmax</t>
  </si>
  <si>
    <t>Kit exaustão para rack 19" com 2 ventiladores</t>
  </si>
  <si>
    <t>Parafuso e porca gaiola - 100 und</t>
  </si>
  <si>
    <t>Organizador de cabos 1U para rack de 19" - preto</t>
  </si>
  <si>
    <t>Bandeja retratil 1U para rack de 19" - preto 70mm</t>
  </si>
  <si>
    <t>Calha com 8 tomadas 19" preta, padrão NBR 14136 10AMP</t>
  </si>
  <si>
    <t>Tampa cega 1U para rack 19" - preto</t>
  </si>
  <si>
    <t>Switch 24 Portas 10/100/1000 + 4sfp Combo Sg 2404 Mr L2+ - no padrão da Cooperativa</t>
  </si>
  <si>
    <t>Patch panel 24 portas para cabos Cat6, rack 19" Ref.: Furukawa ou Nexans</t>
  </si>
  <si>
    <t>Voice panel 50 portas para rack"19 Ref.: Seccon WT 2052 - no padrão da Cooperativa</t>
  </si>
  <si>
    <t>Patch cord Cat6, com comprimento médio 1,5m, na cor VERDE  Ref.: Furukawa ou Nexans</t>
  </si>
  <si>
    <t>Patch cord Cat6, com comprimento médio 1,5m, na cor AMARELO Ref.: Furukawa ou Nexans</t>
  </si>
  <si>
    <t>Rack 2P Aberto 19" 12U, ref.: Itmax</t>
  </si>
  <si>
    <t>Cabo UTP-4P CAT 6, ref.: Furukawa - 835m</t>
  </si>
  <si>
    <t>Alvará de construção para reforma</t>
  </si>
  <si>
    <t>Projeto "As Built" dos projetos que sofreram alterações no decorrer da da execução da obra, a ser entrega no final do contrato</t>
  </si>
  <si>
    <t>Instalação de iluminação nova</t>
  </si>
  <si>
    <t>1.16.5</t>
  </si>
  <si>
    <t xml:space="preserve">Retirada e re-instalação de iluminação existentes a ser mantidas </t>
  </si>
  <si>
    <t>Equipe de mão-de-Obra para retirada, armazenamento e re-instalação das luminárias e caixa de som existentes a serem reaproveitadas no 3º e 4º pavto, conforme projeto</t>
  </si>
  <si>
    <t>1.16.4.2</t>
  </si>
  <si>
    <t>1.22.6</t>
  </si>
  <si>
    <t>1.22.6.1</t>
  </si>
  <si>
    <t>Retirada, armazenamento e redistribuição dos móveis existentes a serem realocados conforme detalhado em projeto arquitetônico</t>
  </si>
  <si>
    <t>REAMANEJAMENTO DE MOBILIARIO EXISTENTE</t>
  </si>
  <si>
    <t>REMANEJAMENTO DE MOBILIARIO EXISTENTE A SEREM REAPROVEITADOS</t>
  </si>
  <si>
    <t>I.S.</t>
  </si>
  <si>
    <t xml:space="preserve">PINTURA </t>
  </si>
  <si>
    <t>Dos 4 pavimentos</t>
  </si>
  <si>
    <t>Dos projetos para execução da obra</t>
  </si>
  <si>
    <t>Para execução da obra</t>
  </si>
  <si>
    <t>Recolhimento de ART</t>
  </si>
  <si>
    <t>Canteiro de Obras</t>
  </si>
  <si>
    <t>Operação do Canteiro de Obras</t>
  </si>
  <si>
    <t>Administração Local</t>
  </si>
  <si>
    <t>Locação de andaime metálico - tipo torre (aluguel mensal) para serviços internos com altura maior que 1,50m, inclusive rodízios, assoalho, guarda corpo, escada e frete de entrega e devolução, para alcance de 4,00 metros de altura. EXCLUSIVE montagem e desmontagem</t>
  </si>
  <si>
    <t>3º, 4º, 7º e 8º Pavimento</t>
  </si>
  <si>
    <t xml:space="preserve">Montagem e desmontagem de dois andaimes metálicos - tipo torre para serviços internos e externos, sendo: 4 andaimes com 2,00m de altura </t>
  </si>
  <si>
    <t xml:space="preserve">Recomposição do piso existente, onde apresentar anomalias e/ou danificações </t>
  </si>
  <si>
    <t xml:space="preserve">Fornecimento e assentamento de revestimento Porcelanato retificado tipo cimento queimado, dimensões 60x60cm, tipo concreto, MS. Barcelona Acero, ref.: Portobello ou equivalente,  inclusive argamassa de cimento colante, rejunte quartzolit na cor cinza ártico e espaçadores de plástico </t>
  </si>
  <si>
    <t>Fornecimento e assentamento de Rodapé em poliestireno, h=7cm, cor branco. Ref.: Rodapé 446, cor branco, Linha Moderna, marca Santa Luzia ou equivalente, inclusive materiais necessários para instalação</t>
  </si>
  <si>
    <t>Fornecimento e instalação de Porta de correr 95x210cm tipo prancheta com miolo em lã e acabamento laminado cor madeirado (Noce amêndoa), com marco e alizar l:7cm  no mesmo acabamento, puxador tipo alça em Zamac 300mm, ref.: isero ou equivalente, com fechadura tipo bico de papagaio, nas seguintes dimensões:</t>
  </si>
  <si>
    <t>Fornecimento e instalação de Acabamento de Registro acabamento cromado. Linha Aspen, cód.: C35,  Ref.: Deca ou equivalente</t>
  </si>
  <si>
    <t xml:space="preserve">Alarme de emergência para sanitário com 1 acionador com fio à prova d'agua. Possui gabinete e acionador antivandalismo e anti-chama. Alarme constituído por sirene sonora, indicação visual através de display e LED intermitente. Ref.: GS Braille ou equivalente </t>
  </si>
  <si>
    <t>Banco com gavetões em MDF esp.=18mm, com revestimento laminado nas faces aparentes, cor Cinza Sagrado e acabamento com fita de borda. Ref.: Linha Essencial, marca Duratex ou equivalente, com assento e encosto tipo almofada futon com esp.=1cm e borda estilo sharp com enchimento em espuma alta densidade, fibra acrílica e revestimento em sarja peletizada preto, fixados com velcro, ref.: almofada classic 13, marca Futon Company, medindo 2,00x0,60m</t>
  </si>
  <si>
    <t>Banco com gavetões em MDF esp.=18mm, com revestimento laminado nas faces aparentes, cor Cinza Sagrado e acabamento com fita de borda. Ref.: Linha Essencial, marca Duratex ou equivalente, com assento e encosto tipo almofada futon com esp.=1cm e borda estilo sharp com enchimento em espuma alta densidade, fibra acrílica e revestimento em sarja peletizada preto, fixados com velcro, ref.: almofada classic 13, marca Futon Company, medindo 1,80x0,60m</t>
  </si>
  <si>
    <t>Banco com gavetões em MDF esp.=18mm, com revestimento laminado nas faces aparentes, cor Cinza Sagrado e acabamento com fita de borda. Ref.: Linha Essencial, marca Duratex ou equivalente, com assento e encosto tipo almofada futon com esp.=1cm e borda estilo sharp com enchimento em espuma alta densidade, fibra acrílica e revestimento em sarja peletizada preto, fixados com velcro, ref.: almofada classic 13, marca Futon Company, medindo 2,98x0,60m</t>
  </si>
  <si>
    <t>Bancada em MDF ESP=18mm, c/ revestimento em ambas as faces no laminado melamínico madeirado e acabamento c/ fita de borda, apoiado sobre suporte metálicos, ref.: Jequitibá Rosa, marca Duratéx ou equivalente, medindo (1,25+1,35+1,52+1,53+1,64)x0,60m, totalizando uma área de 6,04m²</t>
  </si>
  <si>
    <t>Geladeira Frost Free duplex 378 litros em inox. Dim.: 185.6x61.9x69cm, cód.: BRM42EK, Ref.: Brastemp ou equivalente</t>
  </si>
  <si>
    <t>ARM2 - Armário médio dimensões 160x50x73cm caixaria cor Grafite e melamínico Carvalho Munique. Possui dobradiças com amortecimento, puxadores embutidos, chave com sistema escamoteável e sistema de montagem tambor e minifix. Ref.: Linha Arquivamento, marca Marelli ou equivalente</t>
  </si>
  <si>
    <t>ARM1 - Armário médio dimensões 120x50x73cm caixaria cor Grafite e melamínico Carvalho Munique. Possui dobradiças com amortecimento, puxadores embutidos, chave com sistema escamoteável e sistema de montagem tambor e minifix. Ref.: Linha Arquivamento, marca Marelli ou equivalente</t>
  </si>
  <si>
    <t>CA1 - Cadeira fixa com assento estofado com espuma injetada de alta qualidade com densidade e maciez controladas. Possui encosto fixo e apoio lombar com regulagem de altura e estrutura metálica tipo balancim, com laterais em tubo de aço e acabamento na cor preta. Sapatas intejatas em polipropileno, dim.: 55x51cm. Ref.: código 211b/059prprpr, Linha you, marca Marelli ou equivalente</t>
  </si>
  <si>
    <t>ME3 - Mesa de trabalho tipo plataforma com tampo reto em MDP acabamento revestido com laminado melamínico em ambas as faces na cor Carvalho Munique e pés tipo cavalete em aço cor preto. Possui elétrica e divisor embutido em madeira, dim.: 120x75cm. Ref.: marca Marelli ou equivalente</t>
  </si>
  <si>
    <t>Remoção de entulho</t>
  </si>
  <si>
    <t>Porcelanato retificado tipo cimento queimado, dimensões 60x60cm, tipo concreto. Ref.: MS. Barcelona Acero, marca Portobello ou equivalente</t>
  </si>
  <si>
    <t>Porta de correr 95x210cm tipo prancheta com miolo em lã e acabamento laminado cor madeirado (Noce amêndoa), com marco e alizar l:7cm  no mesmo acabamento, puxador tipo alça em Zamac 300mm, ref.: isero ou equivalente, com fechadura tipo bico de papagaio</t>
  </si>
  <si>
    <t>Fornecimento e instalação de Bancada em Granito Preto São Gabriel polido nas duas faces aparentes, sem rodabanca, com testeiras h=10cm e furo para cuba quadrada de semi-encaixe, apoiado sobre suportes metálicos, medindo 1,20x0,30m</t>
  </si>
  <si>
    <t>Conforme lista de material enviada pelo projetista e confrontada com o projeto enviado</t>
  </si>
  <si>
    <t>Acabamento de Registro acabamento cromado. Linha Aspen, cód.: C35,  Ref.: Deca ou equivalente</t>
  </si>
  <si>
    <t>Considerado equipe de 1 eletricista e 1 ajudante durante o período de 2 meses</t>
  </si>
  <si>
    <t>Alarme de emergência para sanitário com 1 acionador com fio à prova d'agua. Possui gabinete e acionador antivandalismo e anti-chama. Alarme constituído por sirene sonora, indicação visual através de display e LED intermitente. Ref.: GS Braille ou equivalente</t>
  </si>
  <si>
    <t>Considerado uma equipe com 1 eletricista e 1 ajudantes no período de 23 dias</t>
  </si>
  <si>
    <t>Circulação e Salas</t>
  </si>
  <si>
    <t>7º Pavimento - Sala de Reunião</t>
  </si>
  <si>
    <t>8º Pavimento - Salas de Reunião 1 e 2</t>
  </si>
  <si>
    <t>Bancadas em MDF ESP=18mm, com revestimento em ambas as faces em laminado melamínico madeirado e acabamento com fita de borda, apoiado sobre suportes metálicos, ref.: Jequitibá Rosa, marca Duratéx ou equivalente</t>
  </si>
  <si>
    <t>FORNECIMENTO DE MATERIAIS - ESGOTO</t>
  </si>
  <si>
    <t>1.12.1.1.1</t>
  </si>
  <si>
    <t>1.12.1.1.2</t>
  </si>
  <si>
    <t>1.12.1.1.3</t>
  </si>
  <si>
    <t>1.12.1.1.4</t>
  </si>
  <si>
    <t>1.12.1.2.1</t>
  </si>
  <si>
    <t>1.12.1.2.2</t>
  </si>
  <si>
    <t>1.12.1.2.3</t>
  </si>
  <si>
    <t>1.12.1.2.4</t>
  </si>
  <si>
    <t>1.12.1.2.5</t>
  </si>
  <si>
    <t>1.12.1.2.6</t>
  </si>
  <si>
    <t>1.12.1.2.7</t>
  </si>
  <si>
    <t>1.12.1.2.8</t>
  </si>
  <si>
    <t>1.12.1.2.9</t>
  </si>
  <si>
    <t>1.12.1.2.10</t>
  </si>
  <si>
    <t>1.12.1.2.11</t>
  </si>
  <si>
    <t>1.12.1.2.12</t>
  </si>
  <si>
    <t>1.12.1.2.13</t>
  </si>
  <si>
    <t>1.12.1.2.14</t>
  </si>
  <si>
    <t>1.12.1.2.15</t>
  </si>
  <si>
    <t>1.12.1.2.16</t>
  </si>
  <si>
    <t>1.12.1.2.17</t>
  </si>
  <si>
    <t>1.12.1.2.18</t>
  </si>
  <si>
    <t>1.12.1.2.19</t>
  </si>
  <si>
    <t>1.12.1.2.20</t>
  </si>
  <si>
    <t>1.12.1.2.21</t>
  </si>
  <si>
    <t>1.12.1.2.22</t>
  </si>
  <si>
    <t>1.12.1.2.23</t>
  </si>
  <si>
    <t>FORNECIMENTO DE MATERIAIS - ÁGUA FRIA</t>
  </si>
  <si>
    <t>FORNECIMENTO DE MATERIAIS - DRENO DO AR CONDICIONADO</t>
  </si>
  <si>
    <t>1.12.2</t>
  </si>
  <si>
    <t>1.12.2.1</t>
  </si>
  <si>
    <t>1.12.2.1.1</t>
  </si>
  <si>
    <t>1.12.2.1.2</t>
  </si>
  <si>
    <t>1.12.2.1.3</t>
  </si>
  <si>
    <t>1.12.2.1.4</t>
  </si>
  <si>
    <t>1.12.2.1.5</t>
  </si>
  <si>
    <t>1.12.2.1.6</t>
  </si>
  <si>
    <t>1.12.3</t>
  </si>
  <si>
    <t>1.12.3.1</t>
  </si>
  <si>
    <t>1.12.3.1.1</t>
  </si>
  <si>
    <t>1.12.3.1.2</t>
  </si>
  <si>
    <t>1.12.3.1.3</t>
  </si>
  <si>
    <t>1.12.3.1.4</t>
  </si>
  <si>
    <t>1.12.3.1.5</t>
  </si>
  <si>
    <t>1.12.3.1.6</t>
  </si>
  <si>
    <t>1.12.3.1.7</t>
  </si>
  <si>
    <t>1.12.3.1.8</t>
  </si>
  <si>
    <t>1.12.3.1.9</t>
  </si>
  <si>
    <t>1.12.4</t>
  </si>
  <si>
    <t>FORNECIMENTO DE MÃO DE OBRA PARA INSTALAÇÕES HIDROSSANITÁRIAS</t>
  </si>
  <si>
    <t>1.12.4.1</t>
  </si>
  <si>
    <t>FORNECIMENTO DE MATERIAS PARA INSTALAÇÕES ELÉTRICAS</t>
  </si>
  <si>
    <t>1.15.1.1.1</t>
  </si>
  <si>
    <t>1.15.1.1.2</t>
  </si>
  <si>
    <t>1.15.1.1.3</t>
  </si>
  <si>
    <t>1.15.1.1.4</t>
  </si>
  <si>
    <t>1.15.1.1.5</t>
  </si>
  <si>
    <t>1.15.1.1.6</t>
  </si>
  <si>
    <t>1.15.1.1.7</t>
  </si>
  <si>
    <t>1.15.1.1.8</t>
  </si>
  <si>
    <t>1.15.1.1.9</t>
  </si>
  <si>
    <t>1.15.1.1.10</t>
  </si>
  <si>
    <t>1.15.1.1.11</t>
  </si>
  <si>
    <t>1.15.1.1.12</t>
  </si>
  <si>
    <t>1.15.1.1.13</t>
  </si>
  <si>
    <t>1.15.1.1.14</t>
  </si>
  <si>
    <t>1.15.1.1.15</t>
  </si>
  <si>
    <t>1.15.1.1.16</t>
  </si>
  <si>
    <t>1.15.1.1.17</t>
  </si>
  <si>
    <t>1.15.1.2.1</t>
  </si>
  <si>
    <t>1.15.1.4.1</t>
  </si>
  <si>
    <t>1.15.1.2.2</t>
  </si>
  <si>
    <t>1.15.1.2.3</t>
  </si>
  <si>
    <t>1.15.1.2.4</t>
  </si>
  <si>
    <t>1.15.1.2.5</t>
  </si>
  <si>
    <t>1.15.1.3.1</t>
  </si>
  <si>
    <t>1.15.2.3.2</t>
  </si>
  <si>
    <t>1.15.2.4.2</t>
  </si>
  <si>
    <t>1.15.1.3.2</t>
  </si>
  <si>
    <t>1.15.1.3.3</t>
  </si>
  <si>
    <t>1.15.1.3.4</t>
  </si>
  <si>
    <t>1.15.1.4</t>
  </si>
  <si>
    <t>1.15.1.4.2</t>
  </si>
  <si>
    <t>1.15.1.5</t>
  </si>
  <si>
    <t>1.15.1.5.1</t>
  </si>
  <si>
    <t>1.15.1.5.2</t>
  </si>
  <si>
    <t>1.15.1.5.3</t>
  </si>
  <si>
    <t>1.15.1.5.4</t>
  </si>
  <si>
    <t>1.15.1.5.5</t>
  </si>
  <si>
    <t>1.15.1.5.6</t>
  </si>
  <si>
    <t>1.15.1.6</t>
  </si>
  <si>
    <t>1.15.1.6.1</t>
  </si>
  <si>
    <t>1.15.1.7</t>
  </si>
  <si>
    <t>1.15.1.7.1</t>
  </si>
  <si>
    <t>1.15.1.6.2</t>
  </si>
  <si>
    <t>1.15.1.6.3</t>
  </si>
  <si>
    <t>1.15.1.6.4</t>
  </si>
  <si>
    <t>1.15.1.6.5</t>
  </si>
  <si>
    <t>1.15.1.7.2</t>
  </si>
  <si>
    <t>1.15.1.7.3</t>
  </si>
  <si>
    <t>1.15.1.7.4</t>
  </si>
  <si>
    <t>1.15.1.8</t>
  </si>
  <si>
    <t>1.15.1.8.1</t>
  </si>
  <si>
    <t>1.15.1.8.2</t>
  </si>
  <si>
    <t>1.15.1.8.3</t>
  </si>
  <si>
    <t>1.15.1.8.4</t>
  </si>
  <si>
    <t>1.15.1.8.5</t>
  </si>
  <si>
    <t>1.15.1.8.6</t>
  </si>
  <si>
    <t>1.15.1.8.7</t>
  </si>
  <si>
    <t>1.15.1.8.8</t>
  </si>
  <si>
    <t>1.15.1.8.9</t>
  </si>
  <si>
    <t>1.15.1.8.10</t>
  </si>
  <si>
    <t>1.15.1.8.11</t>
  </si>
  <si>
    <t>1.15.1.9</t>
  </si>
  <si>
    <t>1.15.1.9.1</t>
  </si>
  <si>
    <t>1.15.1.9.2</t>
  </si>
  <si>
    <t>1.15.1.9.3</t>
  </si>
  <si>
    <t>1.15.1.9.4</t>
  </si>
  <si>
    <t>1.15.1.9.5</t>
  </si>
  <si>
    <t>1.15.1.9.6</t>
  </si>
  <si>
    <t>1.15.1.9.7</t>
  </si>
  <si>
    <t>1.15.1.9.8</t>
  </si>
  <si>
    <t>1.15.1.10</t>
  </si>
  <si>
    <t>1.15.1.10.1</t>
  </si>
  <si>
    <t>1.15.1.10.2</t>
  </si>
  <si>
    <t>1.15.1.10.3</t>
  </si>
  <si>
    <t>1.15.1.10.4</t>
  </si>
  <si>
    <t>1.15.1.10.5</t>
  </si>
  <si>
    <t>1.15.1.10.6</t>
  </si>
  <si>
    <t>1.15.1.10.7</t>
  </si>
  <si>
    <t>1.15.1.10.8</t>
  </si>
  <si>
    <t>1.15.1.10.9</t>
  </si>
  <si>
    <t>1.15.1.10.10</t>
  </si>
  <si>
    <t>1.15.1.10.11</t>
  </si>
  <si>
    <t>1.15.1.10.12</t>
  </si>
  <si>
    <t>1.15.1.10.13</t>
  </si>
  <si>
    <t>1.15.1.10.14</t>
  </si>
  <si>
    <t>1.15.1.10.15</t>
  </si>
  <si>
    <t>1.15.1.10.16</t>
  </si>
  <si>
    <t>1.15.1.10.17</t>
  </si>
  <si>
    <t>1.15.1.10.18</t>
  </si>
  <si>
    <t>1.15.1.10.19</t>
  </si>
  <si>
    <t>1.15.1.10.20</t>
  </si>
  <si>
    <t>1.15.1.10.21</t>
  </si>
  <si>
    <t>1.15.1.10.22</t>
  </si>
  <si>
    <t>1.15.1.10.23</t>
  </si>
  <si>
    <t>1.15.1.10.24</t>
  </si>
  <si>
    <t>1.15.1.10.25</t>
  </si>
  <si>
    <t>1.15.1.10.26</t>
  </si>
  <si>
    <t>1.15.1.10.27</t>
  </si>
  <si>
    <t>1.15.1.10.28</t>
  </si>
  <si>
    <t>1.15.1.10.29</t>
  </si>
  <si>
    <t>1.15.1.10.30</t>
  </si>
  <si>
    <t>1.15.1.10.31</t>
  </si>
  <si>
    <t>1.15.1.10.32</t>
  </si>
  <si>
    <t>1.15.1.10.33</t>
  </si>
  <si>
    <t>1.15.1.10.34</t>
  </si>
  <si>
    <t>1.15.1.10.35</t>
  </si>
  <si>
    <t>1.15.1.10.36</t>
  </si>
  <si>
    <t>1.15.1.10.37</t>
  </si>
  <si>
    <t>1.15.1.10.38</t>
  </si>
  <si>
    <t>1.15.1.10.39</t>
  </si>
  <si>
    <t>1.15.1.11</t>
  </si>
  <si>
    <t>1.15.1.11.1</t>
  </si>
  <si>
    <t>1.15.1.11.2</t>
  </si>
  <si>
    <t>1.15.1.11.3</t>
  </si>
  <si>
    <t>1.15.1.11.4</t>
  </si>
  <si>
    <t>1.15.1.11.5</t>
  </si>
  <si>
    <t>1.15.1.11.6</t>
  </si>
  <si>
    <t>1.15.1.11.7</t>
  </si>
  <si>
    <t>1.15.1.11.8</t>
  </si>
  <si>
    <t>FORNECIMENTO DE MATERIAS PARA INSTALAÇÕES DE CABEAMENTO ESTRUTURADO</t>
  </si>
  <si>
    <t>1.15.2.1.1</t>
  </si>
  <si>
    <t>1.15.2.2</t>
  </si>
  <si>
    <t>1.15.2.2.1</t>
  </si>
  <si>
    <t>1.15.2.2.2</t>
  </si>
  <si>
    <t>1.15.2.3</t>
  </si>
  <si>
    <t>1.15.2.3.1</t>
  </si>
  <si>
    <t>1.15.2.3.3</t>
  </si>
  <si>
    <t>1.15.2.3.4</t>
  </si>
  <si>
    <t>1.15.2.3.5</t>
  </si>
  <si>
    <t>1.15.2.4</t>
  </si>
  <si>
    <t>1.15.2.4.1</t>
  </si>
  <si>
    <t>1.15.2.4.3</t>
  </si>
  <si>
    <t>1.15.2.5</t>
  </si>
  <si>
    <t>1.15.2.5.1</t>
  </si>
  <si>
    <t>1.15.2.5.2</t>
  </si>
  <si>
    <t>1.15.2.5.3</t>
  </si>
  <si>
    <t>1.15.2.6</t>
  </si>
  <si>
    <t>1.15.2.6.1</t>
  </si>
  <si>
    <t>1.15.2.6.2</t>
  </si>
  <si>
    <t>1.15.2.6.3</t>
  </si>
  <si>
    <t>1.15.2.7</t>
  </si>
  <si>
    <t>1.15.2.7.1</t>
  </si>
  <si>
    <t>1.15.2.8</t>
  </si>
  <si>
    <t>1.15.2.8.1</t>
  </si>
  <si>
    <t>1.15.2.8.2</t>
  </si>
  <si>
    <t>1.15.2.8.3</t>
  </si>
  <si>
    <t>1.15.2.8.4</t>
  </si>
  <si>
    <t>1.15.2.8.5</t>
  </si>
  <si>
    <t>1.15.2.8.6</t>
  </si>
  <si>
    <t>1.15.2.8.7</t>
  </si>
  <si>
    <t>1.15.2.8.8</t>
  </si>
  <si>
    <t>1.15.2.8.9</t>
  </si>
  <si>
    <t>1.15.2.8.10</t>
  </si>
  <si>
    <t>1.15.2.9</t>
  </si>
  <si>
    <t>1.15.2.9.1</t>
  </si>
  <si>
    <t>1.15.2.9.2</t>
  </si>
  <si>
    <t>1.15.2.9.3</t>
  </si>
  <si>
    <t>1.15.2.9.4</t>
  </si>
  <si>
    <t>1.15.2.9.5</t>
  </si>
  <si>
    <t>1.15.2.9.6</t>
  </si>
  <si>
    <t>1.15.2.9.7</t>
  </si>
  <si>
    <t>1.15.2.9.8</t>
  </si>
  <si>
    <t>1.15.2.10</t>
  </si>
  <si>
    <t>1.15.2.10.1</t>
  </si>
  <si>
    <t>1.15.2.10.1.1</t>
  </si>
  <si>
    <t>1.15.2.10.1.2</t>
  </si>
  <si>
    <t>1.15.2.10.1.3</t>
  </si>
  <si>
    <t>1.15.2.10.1.4</t>
  </si>
  <si>
    <t>1.15.2.10.1.5</t>
  </si>
  <si>
    <t>1.15.2.10.1.6</t>
  </si>
  <si>
    <t>1.15.2.10.1.7</t>
  </si>
  <si>
    <t>1.15.2.10.1.8</t>
  </si>
  <si>
    <t>1.15.2.10.1.9</t>
  </si>
  <si>
    <t>1.15.2.10.1.10</t>
  </si>
  <si>
    <t>1.15.2.10.1.11</t>
  </si>
  <si>
    <t>1.15.2.10.1.12</t>
  </si>
  <si>
    <t>1.15.2.10.2</t>
  </si>
  <si>
    <t>1.15.2.10.2.1</t>
  </si>
  <si>
    <t>1.15.2.10.2.2</t>
  </si>
  <si>
    <t>1.15.2.10.2.3</t>
  </si>
  <si>
    <t>1.15.2.10.2.4</t>
  </si>
  <si>
    <t>1.15.2.10.2.5</t>
  </si>
  <si>
    <t>1.15.2.10.2.6</t>
  </si>
  <si>
    <t>1.15.2.10.2.7</t>
  </si>
  <si>
    <t>1.15.2.10.2.8</t>
  </si>
  <si>
    <t>1.15.2.10.2.9</t>
  </si>
  <si>
    <t>1.15.2.10.2.10</t>
  </si>
  <si>
    <t>1.15.2.10.2.11</t>
  </si>
  <si>
    <t>1.15.2.10.2.12</t>
  </si>
  <si>
    <t>1.15.2.11</t>
  </si>
  <si>
    <t>1.15.2.11.1</t>
  </si>
  <si>
    <t>1.15.2.11.2</t>
  </si>
  <si>
    <t>1.15.2.11.3</t>
  </si>
  <si>
    <t>1.15.2.11.4</t>
  </si>
  <si>
    <t>1.15.3</t>
  </si>
  <si>
    <t>1.15.3.1</t>
  </si>
  <si>
    <t>1.15.4</t>
  </si>
  <si>
    <t>1.15.4.1</t>
  </si>
  <si>
    <t>Equipe de Mão-de-Obra para execução das instalações hidrossanitárias, considerado uma equipe composta por: 1 encanador e 1 ajudante para o período 23 dias.</t>
  </si>
  <si>
    <t>Mão-de-Obra para execução das instalações elétricas e cabeamento estruturado, incluindo a montagem de 4 QDC, considerado uma equipe composta por: 1 eletricista e 1 ajudante para o período de 2 meses e 15 dias.</t>
  </si>
  <si>
    <t>Equipe de mão-de-Obra para instalação das luminárias, arandelas e tela tensionada, considerado uma equipe composta por: 1 eletricista e 2 ajudantes para o período de 23 dias.</t>
  </si>
  <si>
    <t>Equipe de mão-de-Obra para retirada, armazenamento e re-instalação das luminárias e caixa de som existentes a serem reaproveitadas no 3º e 4º pavto, considerado uma equipe composta por: 2 eletricistas e 4 ajudante para o período de 10 dias.</t>
  </si>
  <si>
    <t>Demolição conforme detalhado em projeto arquitetônico, considerando uma equipe composta por: 8 ajudantes no período de 10dias
* Parede em drywall do 3º e 7º pavto; 
* De alvenaria para adequação do novo layout do 7º e 8º pavto;
* Demolição do piso cerâmico, considerando o reaproveitamento do contrapiso do 3º, 7º e 8º pavto;
* Demolição do revestimento cerâmico de parede sem reaproveitamento do 4º, 7º e 8º pavtos;
* Reboco nas paredes de alvenarias do 7º e 8º pavto;
* Remoção do forro de gesso do 3º e 4º pavto, sem reaproveitamento;
Retirada conforme detalhado em projeto arquitetônico:
* Retirada total da instalação de ar condicionado de 3º e 4º pavimentos, sem reaproveitamento;
* Esquadrias de madeira que não serão reaproveitadas no 4º, 7º e 8º pavimentos, sem reaproveitamento;
* Parede de madeira em divisórias naval no 4º e 7º pavimentos;
* Bancadas de granito, louças/metais dos sanitários e barras de apoio, que não serão reaproveitados;
* Retirada das instalações exposta no 8º pavimento que não serão reaproveitadas;
* Remoção de mobiliário que não serão reaproveitados;
* Do entulho gerado, incluindo a carga até a caçamba e demais itens que se fazem necessários para implantação do projeto em questão.</t>
  </si>
  <si>
    <t>Operação do Canteiro de obras, considerando o consumo com energia, telefone, internet, aluguel de impressora/copiadora e materiais de consumo em geral para manutenção do canteiro</t>
  </si>
  <si>
    <t>Administração local (considerado uma equipe mínima, composta por: 1 engenheiro gestor "Part time", 1 comprador, 1 encarregado geral e 1 auxiliar de serviços gerais), durante o prazo de execução da obra</t>
  </si>
  <si>
    <r>
      <t xml:space="preserve">Locação de andaime metálico - tipo torre (aluguel mensal) para serviços internos com altura maior que 1,50m, inclusive rodízios, assoalho, guarda corpo, escada e frete de entrega e devolução, para alcance de 4,00 metros de altura. </t>
    </r>
    <r>
      <rPr>
        <b/>
        <strike/>
        <u/>
        <sz val="8"/>
        <rFont val="Calibri"/>
        <family val="2"/>
        <scheme val="minor"/>
      </rPr>
      <t>EXCLUSIVE</t>
    </r>
    <r>
      <rPr>
        <strike/>
        <sz val="8"/>
        <rFont val="Calibri"/>
        <family val="2"/>
        <scheme val="minor"/>
      </rPr>
      <t xml:space="preserve"> montagem e desmontagem</t>
    </r>
  </si>
  <si>
    <r>
      <t xml:space="preserve">Fornecimento e aplicação de pintura impermeabilizante com igolflex ou equivalente a 3 demãos  - </t>
    </r>
    <r>
      <rPr>
        <b/>
        <strike/>
        <sz val="8"/>
        <rFont val="Calibri"/>
        <family val="2"/>
        <scheme val="minor"/>
      </rPr>
      <t>para área molhada interna</t>
    </r>
  </si>
  <si>
    <r>
      <t xml:space="preserve">Fornecimento e instalação de Bancada em Granito Preto São Gabriel polido nas duas faces aparentes, sem rodabanca, com testeiras h=10cm e furos para cuba quadrada de semi-encaixe, apoiado sobre suportes metálicos, medindo 1,20x0,30m </t>
    </r>
    <r>
      <rPr>
        <b/>
        <strike/>
        <sz val="8"/>
        <rFont val="Calibri"/>
        <family val="2"/>
        <scheme val="minor"/>
      </rPr>
      <t>- conforme detalhamento na prancha 06 do projeto arquitetônico</t>
    </r>
  </si>
  <si>
    <r>
      <t xml:space="preserve">Fornecimento e instalação de Bancada em Granito Preto São Gabriel polido nas duas faces aparentes, sem rodabanca, com testeiras h=10cm e furos para cuba de embutir em aço inóx retangular ,apoiado sobre suportes metálicos, medindo 1,83x0,60m </t>
    </r>
    <r>
      <rPr>
        <b/>
        <strike/>
        <sz val="8"/>
        <rFont val="Calibri"/>
        <family val="2"/>
        <scheme val="minor"/>
      </rPr>
      <t>- conforme detalhamento na prancha 04 do projeto arquitetônico</t>
    </r>
  </si>
  <si>
    <r>
      <t xml:space="preserve">Fornecimento de equipamentos para o sistema de climatização, conforme projeto (composto por: 2 condicionadoras tipo Cassete, inverter - 34.000 BTU's/H, 3 condicionadoras tipo Cassete, inverter - 18.000 BTU's/H, 2 condicionadoras tipo Split Hiwall, inverter - 24.000 BTU's/H, 2 condicionadoras tipo Split Hiwall, inverter - 18.000 BTU's/H, 5 condicionadoras tipo Split Hiwall, inverter - 12.000 BTU's/H e 9 condicionadoras tipo Split Hiwall, inverter - 9.000 BTU's/H, Ref.: LG - </t>
    </r>
    <r>
      <rPr>
        <b/>
        <strike/>
        <u/>
        <sz val="8"/>
        <color theme="1"/>
        <rFont val="Calibri"/>
        <family val="2"/>
        <scheme val="minor"/>
      </rPr>
      <t>Conforme especificado em projeto de climatização.</t>
    </r>
  </si>
  <si>
    <r>
      <t xml:space="preserve">Instalação do sistema de climatização, composto por: 2 condicionadoras tipo Cassete, inverter - 34.000 BTU's/H, 3 condicionadoras tipo Cassete, inverter - 18.000 BTU's/H, 2 condicionadoras tipo Split Hiwall, inverter - 24.000 BTU's/H, 2 condicionadoras tipo Split Hiwall, inverter - 18.000 BTU's/H, 5 condicionadoras tipo Split Hiwall, inverter - 12.000 BTU's/H e 9 condicionadoras tipo Split Hiwall, inverter - 9.000 BTU's/H, ref.: LG, inclusive fornecimento e lançamento de linhas frigorígenas, suportes metálicos para instalação das condensadoras, suportes emborrachados para evitar vibração e demais itens necessários para total implantação do projeto. </t>
    </r>
    <r>
      <rPr>
        <b/>
        <strike/>
        <u/>
        <sz val="8"/>
        <color theme="1"/>
        <rFont val="Calibri"/>
        <family val="2"/>
        <scheme val="minor"/>
      </rPr>
      <t>Exclusive fornecimento dos aparelhos de ar condicionado. Conforme especificado no projeto de climatização</t>
    </r>
  </si>
  <si>
    <r>
      <t xml:space="preserve">Fornecimento e instalação do Sistema de Ventilação e Renovação de Ar, inclusive fabricação de dutos de chapa galvanizada para insuflamento do ar, difusor, grelhas, caixa de ventilação, micro-ventiladores com acessórios e demais itens necessários para total implantação - </t>
    </r>
    <r>
      <rPr>
        <b/>
        <strike/>
        <u/>
        <sz val="8"/>
        <rFont val="Calibri"/>
        <family val="2"/>
        <scheme val="minor"/>
      </rPr>
      <t>Conforme especificado em projeto de climatização.</t>
    </r>
  </si>
  <si>
    <r>
      <t xml:space="preserve">Cortina rolô solar semi-translúcida em toda a extensão da janela. Composição: 69% fibra de vidro e 64% PVC. Trama 16 fios/cm, urdume 27 fios/cm espessura 0,64mm. Ref.: marca Hunter Douglas ou equivalente, nas dimensões: 01 unidade - 2,40x1,70m,  01 unidade - 2,20x1,70m, 01 unidade - 4,98x1,70m, 01 unidade - 5,03x1,70m, 01 unidade - 4,64x1,70m, 01 unidade - 4,13x1,70m, 01 unidade - 3,82x1,70m, 02 unidades - 1,86x1,70m, 01 unidade - 2,17x1,70m, 01 unidade - 2,94x1,70m, 01 unidade - 2,90x1,70m, 01 unidade - 2,15x1,70m, 01 unidade - 4,67x1,70m, 01 unidade - 5,00x1,70m, 01 unidade - 2,71x1,70m, 01 unidade - 3,76x1,70m, 01 unidade - 3,61x1,70m </t>
    </r>
    <r>
      <rPr>
        <b/>
        <strike/>
        <sz val="8"/>
        <rFont val="Calibri"/>
        <family val="2"/>
        <scheme val="minor"/>
      </rPr>
      <t xml:space="preserve">- conforme especificado em projeto arquitetônico </t>
    </r>
  </si>
  <si>
    <r>
      <rPr>
        <b/>
        <strike/>
        <u/>
        <sz val="12"/>
        <rFont val="Calibri"/>
        <family val="2"/>
      </rPr>
      <t>Demolição conforme detalhado em projeto arquitetônico:</t>
    </r>
    <r>
      <rPr>
        <strike/>
        <sz val="12"/>
        <rFont val="Calibri"/>
        <family val="2"/>
      </rPr>
      <t xml:space="preserve">
* Parede em drywall do 3º e 7º pavto; 
* De alvenaria para adequação do novo layout do 7º e 8º pavto;
* Demolição do piso cerâmico, considerando o reaproveitamento do contrapiso do 3º, 7º e 8º pavto;
* Demolição do revestimento cerâmico de parede sem reaproveitamento do 4º, 7º e 8º pavtos;
* Reboco nas paredes de alvenarias do 7º e 8º pavto;
* Remoção do forro de gesso do 3º e 4º pavto, sem reaproveitamento;
</t>
    </r>
    <r>
      <rPr>
        <b/>
        <strike/>
        <u/>
        <sz val="12"/>
        <rFont val="Calibri"/>
        <family val="2"/>
      </rPr>
      <t>Retirada conforme detalhado em projeto arquitetônico:</t>
    </r>
    <r>
      <rPr>
        <strike/>
        <sz val="12"/>
        <rFont val="Calibri"/>
        <family val="2"/>
      </rPr>
      <t xml:space="preserve">
* Retirada total da instalação de ar condicionado de 3º e 4º pavimentos, sem reaproveitamento;
* Esquadrias de madeira que não serão reaproveitadas no 4º, 7º e 8º pavimentos, sem reaproveitamento;
* Parede de madeira em divisórias naval no 4º e 7º pavimentos;
* Bancadas de granito, louças/metais dos sanitários e barras de apoio, que não serão reaproveitados;
* Retirada das instalações exposta no 8º pavimento que não serão reaproveitadas;
* Remoção de mobiliário que não serão reaproveitados;
* Do entulho gerado, incluindo a carga até a caçamba e demais itens que se fazem necessários para implantação do projeto em questão.</t>
    </r>
  </si>
  <si>
    <r>
      <t>Aplicação de ma</t>
    </r>
    <r>
      <rPr>
        <strike/>
        <sz val="12"/>
        <rFont val="Calibri"/>
        <family val="2"/>
      </rPr>
      <t xml:space="preserve">ssa PVA </t>
    </r>
    <r>
      <rPr>
        <strike/>
        <sz val="12"/>
        <color indexed="8"/>
        <rFont val="Calibri"/>
        <family val="2"/>
      </rPr>
      <t>em tetos, inclusive lixamento</t>
    </r>
  </si>
  <si>
    <t>NÃO CONSIDERAR ESTA PLANILHA. CONSIDERAR PLANILHA RETIFICADA DISPONIBILIZADA NO SITE https://crn9.org.br/licitacao/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</si>
</sst>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&quot;R$&quot;* #,##0.00_);_(&quot;R$&quot;* \(#,##0.00\);_(&quot;R$&quot;* &quot;-&quot;??_);_(@_)"/>
    <numFmt numFmtId="169" formatCode="_(&quot;R$&quot;\ * #,##0_);_(&quot;R$&quot;\ * \(#,##0\);_(&quot;R$&quot;\ * &quot;-&quot;_);_(@_)"/>
    <numFmt numFmtId="170" formatCode="_([$€-2]* #,##0.00_);_([$€-2]* \(#,##0.00\);_([$€-2]* &quot;-&quot;??_)"/>
  </numFmts>
  <fonts count="9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1"/>
    </font>
    <font>
      <b/>
      <sz val="12"/>
      <color indexed="8"/>
      <name val="Arial"/>
      <family val="2"/>
    </font>
    <font>
      <b/>
      <sz val="9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25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0"/>
      <name val="Times New Roman"/>
      <family val="1"/>
      <charset val="204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rgb="FFFF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b/>
      <strike/>
      <sz val="16"/>
      <name val="Tahoma"/>
      <family val="2"/>
    </font>
    <font>
      <strike/>
      <sz val="9"/>
      <name val="Calibri"/>
      <family val="2"/>
      <scheme val="minor"/>
    </font>
    <font>
      <b/>
      <i/>
      <strike/>
      <sz val="9"/>
      <name val="Calibri"/>
      <family val="2"/>
      <scheme val="minor"/>
    </font>
    <font>
      <b/>
      <strike/>
      <sz val="9"/>
      <name val="Calibri"/>
      <family val="2"/>
      <scheme val="minor"/>
    </font>
    <font>
      <b/>
      <strike/>
      <sz val="10"/>
      <color theme="0"/>
      <name val="Calibri"/>
      <family val="2"/>
      <scheme val="minor"/>
    </font>
    <font>
      <b/>
      <strike/>
      <sz val="8"/>
      <color theme="0"/>
      <name val="Calibri"/>
      <family val="2"/>
      <scheme val="minor"/>
    </font>
    <font>
      <b/>
      <strike/>
      <sz val="8"/>
      <name val="Tahoma"/>
      <family val="2"/>
    </font>
    <font>
      <b/>
      <strike/>
      <sz val="8"/>
      <color indexed="8"/>
      <name val="Tahoma"/>
      <family val="2"/>
    </font>
    <font>
      <b/>
      <i/>
      <strike/>
      <sz val="8"/>
      <name val="Calibri"/>
      <family val="2"/>
      <scheme val="minor"/>
    </font>
    <font>
      <i/>
      <strike/>
      <sz val="8"/>
      <name val="Calibri"/>
      <family val="2"/>
      <scheme val="minor"/>
    </font>
    <font>
      <i/>
      <strike/>
      <sz val="8"/>
      <color indexed="8"/>
      <name val="Calibri"/>
      <family val="2"/>
      <scheme val="minor"/>
    </font>
    <font>
      <strike/>
      <sz val="8"/>
      <name val="Calibri"/>
      <family val="2"/>
      <scheme val="minor"/>
    </font>
    <font>
      <strike/>
      <sz val="8"/>
      <color indexed="8"/>
      <name val="Calibri"/>
      <family val="2"/>
      <scheme val="minor"/>
    </font>
    <font>
      <b/>
      <strike/>
      <u/>
      <sz val="8"/>
      <name val="Calibri"/>
      <family val="2"/>
      <scheme val="minor"/>
    </font>
    <font>
      <b/>
      <strike/>
      <sz val="8"/>
      <name val="Calibri"/>
      <family val="2"/>
      <scheme val="minor"/>
    </font>
    <font>
      <b/>
      <strike/>
      <sz val="8"/>
      <color indexed="8"/>
      <name val="Calibri"/>
      <family val="2"/>
      <scheme val="minor"/>
    </font>
    <font>
      <strike/>
      <sz val="8"/>
      <color theme="1"/>
      <name val="Calibri"/>
      <family val="2"/>
      <scheme val="minor"/>
    </font>
    <font>
      <b/>
      <strike/>
      <u/>
      <sz val="8"/>
      <color theme="1"/>
      <name val="Calibri"/>
      <family val="2"/>
      <scheme val="minor"/>
    </font>
    <font>
      <b/>
      <strike/>
      <sz val="9"/>
      <color theme="0"/>
      <name val="Tahoma"/>
      <family val="2"/>
    </font>
    <font>
      <b/>
      <strike/>
      <sz val="9"/>
      <name val="Tahoma"/>
      <family val="2"/>
    </font>
    <font>
      <b/>
      <strike/>
      <sz val="9"/>
      <color indexed="8"/>
      <name val="Tahoma"/>
      <family val="2"/>
    </font>
    <font>
      <strike/>
      <sz val="9"/>
      <color indexed="8"/>
      <name val="Tahoma"/>
      <family val="2"/>
    </font>
    <font>
      <b/>
      <strike/>
      <sz val="10"/>
      <name val="Calibri"/>
      <family val="2"/>
      <scheme val="minor"/>
    </font>
    <font>
      <b/>
      <strike/>
      <sz val="16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2"/>
      <color theme="1"/>
      <name val="Calibri"/>
      <family val="2"/>
    </font>
    <font>
      <b/>
      <strike/>
      <sz val="12"/>
      <name val="Calibri"/>
      <family val="2"/>
    </font>
    <font>
      <b/>
      <strike/>
      <sz val="12"/>
      <name val="Calibri"/>
      <family val="2"/>
      <scheme val="minor"/>
    </font>
    <font>
      <b/>
      <i/>
      <strike/>
      <sz val="12"/>
      <color rgb="FFFF0000"/>
      <name val="Calibri"/>
      <family val="2"/>
    </font>
    <font>
      <b/>
      <strike/>
      <sz val="12"/>
      <color rgb="FFFF0000"/>
      <name val="Calibri"/>
      <family val="2"/>
    </font>
    <font>
      <strike/>
      <sz val="12"/>
      <color rgb="FFFF0000"/>
      <name val="Calibri"/>
      <family val="2"/>
    </font>
    <font>
      <strike/>
      <sz val="12"/>
      <name val="Calibri"/>
      <family val="2"/>
      <scheme val="minor"/>
    </font>
    <font>
      <strike/>
      <sz val="12"/>
      <name val="Calibri"/>
      <family val="2"/>
    </font>
    <font>
      <i/>
      <strike/>
      <sz val="12"/>
      <name val="Calibri"/>
      <family val="2"/>
    </font>
    <font>
      <b/>
      <strike/>
      <u/>
      <sz val="12"/>
      <name val="Calibri"/>
      <family val="2"/>
    </font>
    <font>
      <strike/>
      <sz val="12"/>
      <color theme="1"/>
      <name val="Calibri"/>
      <family val="2"/>
    </font>
    <font>
      <i/>
      <strike/>
      <sz val="12"/>
      <color theme="1"/>
      <name val="Calibri"/>
      <family val="2"/>
    </font>
    <font>
      <b/>
      <i/>
      <strike/>
      <sz val="12"/>
      <color theme="1"/>
      <name val="Calibri"/>
      <family val="2"/>
    </font>
    <font>
      <b/>
      <i/>
      <strike/>
      <sz val="12"/>
      <name val="Calibri"/>
      <family val="2"/>
    </font>
    <font>
      <i/>
      <strike/>
      <sz val="10"/>
      <name val="Arial Narrow"/>
      <family val="2"/>
    </font>
    <font>
      <strike/>
      <sz val="12"/>
      <color indexed="8"/>
      <name val="Calibri"/>
      <family val="2"/>
    </font>
    <font>
      <i/>
      <strike/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44"/>
      </patternFill>
    </fill>
    <fill>
      <patternFill patternType="solid">
        <f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41"/>
        <bgColor indexed="44"/>
      </patternFill>
    </fill>
    <fill>
      <patternFill patternType="solid">
        <fgColor indexed="15"/>
        <bgColor indexed="41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19"/>
        <bgColor indexed="55"/>
      </patternFill>
    </fill>
    <fill>
      <patternFill patternType="solid">
        <fgColor indexed="19"/>
        <bgColor indexed="50"/>
      </patternFill>
    </fill>
    <fill>
      <patternFill patternType="solid">
        <fgColor indexed="51"/>
      </patternFill>
    </fill>
    <fill>
      <patternFill patternType="solid">
        <fgColor indexed="50"/>
        <bgColor indexed="1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60"/>
        <bgColor indexed="25"/>
      </patternFill>
    </fill>
    <fill>
      <patternFill patternType="solid">
        <fgColor indexed="60"/>
        <bgColor indexed="63"/>
      </patternFill>
    </fill>
    <fill>
      <patternFill patternType="solid">
        <fgColor indexed="52"/>
      </patternFill>
    </fill>
    <fill>
      <patternFill patternType="solid">
        <fgColor indexed="25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48"/>
      </patternFill>
    </fill>
    <fill>
      <patternFill patternType="solid">
        <f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10"/>
      </patternFill>
    </fill>
    <fill>
      <patternFill patternType="solid">
        <fgColor indexed="54"/>
        <bgColor indexed="63"/>
      </patternFill>
    </fill>
    <fill>
      <patternFill patternType="solid">
        <fgColor indexed="57"/>
      </patternFill>
    </fill>
    <fill>
      <patternFill patternType="solid">
        <fgColor indexed="25"/>
        <bgColor indexed="60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046">
    <xf numFmtId="0" fontId="0" fillId="0" borderId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" fillId="0" borderId="0"/>
    <xf numFmtId="0" fontId="4" fillId="0" borderId="0">
      <alignment horizontal="centerContinuous" vertical="justify"/>
    </xf>
    <xf numFmtId="166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3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8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1" applyNumberFormat="0" applyFill="0" applyAlignment="0" applyProtection="0"/>
    <xf numFmtId="167" fontId="10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16" fillId="5" borderId="0" applyNumberFormat="0" applyBorder="0" applyAlignment="0" applyProtection="0"/>
    <xf numFmtId="0" fontId="20" fillId="8" borderId="9" applyNumberFormat="0" applyAlignment="0" applyProtection="0"/>
    <xf numFmtId="0" fontId="22" fillId="9" borderId="12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ont="0" applyFill="0" applyAlignment="0">
      <alignment horizontal="left"/>
    </xf>
    <xf numFmtId="0" fontId="15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9" applyNumberFormat="0" applyAlignment="0" applyProtection="0"/>
    <xf numFmtId="0" fontId="21" fillId="0" borderId="11" applyNumberFormat="0" applyFill="0" applyAlignment="0" applyProtection="0"/>
    <xf numFmtId="166" fontId="1" fillId="0" borderId="0" applyFont="0" applyFill="0" applyBorder="0" applyAlignment="0" applyProtection="0"/>
    <xf numFmtId="3" fontId="4" fillId="0" borderId="0"/>
    <xf numFmtId="0" fontId="17" fillId="6" borderId="0" applyNumberFormat="0" applyBorder="0" applyAlignment="0" applyProtection="0"/>
    <xf numFmtId="0" fontId="10" fillId="10" borderId="13" applyNumberFormat="0" applyFont="0" applyAlignment="0" applyProtection="0"/>
    <xf numFmtId="0" fontId="19" fillId="8" borderId="10" applyNumberFormat="0" applyAlignment="0" applyProtection="0"/>
    <xf numFmtId="0" fontId="28" fillId="2" borderId="2">
      <alignment wrapText="1"/>
    </xf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7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5" fillId="70" borderId="18" applyNumberFormat="0" applyAlignment="0" applyProtection="0"/>
    <xf numFmtId="0" fontId="34" fillId="69" borderId="18" applyNumberFormat="0" applyAlignment="0" applyProtection="0"/>
    <xf numFmtId="0" fontId="36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4" fillId="69" borderId="18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2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7" fillId="71" borderId="19" applyNumberFormat="0" applyAlignment="0" applyProtection="0"/>
    <xf numFmtId="0" fontId="37" fillId="71" borderId="19" applyNumberFormat="0" applyAlignment="0" applyProtection="0"/>
    <xf numFmtId="0" fontId="37" fillId="71" borderId="20" applyNumberFormat="0" applyAlignment="0" applyProtection="0"/>
    <xf numFmtId="0" fontId="37" fillId="71" borderId="20" applyNumberFormat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8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80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8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0" fontId="41" fillId="0" borderId="0"/>
    <xf numFmtId="0" fontId="42" fillId="0" borderId="0" applyBorder="0" applyProtection="0"/>
    <xf numFmtId="0" fontId="43" fillId="0" borderId="0">
      <alignment vertical="top" wrapText="1"/>
    </xf>
    <xf numFmtId="0" fontId="43" fillId="0" borderId="0" applyNumberFormat="0" applyFill="0" applyBorder="0" applyProtection="0">
      <alignment vertical="top" wrapText="1"/>
    </xf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38" fillId="82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1" fillId="84" borderId="23" applyNumberFormat="0" applyFon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" fillId="83" borderId="23" applyNumberFormat="0" applyAlignment="0" applyProtection="0"/>
    <xf numFmtId="0" fontId="4" fillId="83" borderId="23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70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31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/>
    <xf numFmtId="0" fontId="31" fillId="0" borderId="0" xfId="0" applyFont="1"/>
    <xf numFmtId="0" fontId="0" fillId="0" borderId="0" xfId="0" applyFont="1" applyFill="1"/>
    <xf numFmtId="0" fontId="31" fillId="0" borderId="0" xfId="0" applyFont="1" applyBorder="1"/>
    <xf numFmtId="167" fontId="31" fillId="0" borderId="0" xfId="44" applyFont="1" applyBorder="1"/>
    <xf numFmtId="2" fontId="31" fillId="0" borderId="0" xfId="0" applyNumberFormat="1" applyFont="1" applyBorder="1"/>
    <xf numFmtId="0" fontId="0" fillId="0" borderId="0" xfId="0" applyFont="1"/>
    <xf numFmtId="0" fontId="0" fillId="0" borderId="0" xfId="0"/>
    <xf numFmtId="43" fontId="0" fillId="0" borderId="0" xfId="0" applyNumberFormat="1"/>
    <xf numFmtId="0" fontId="47" fillId="35" borderId="26" xfId="0" applyFont="1" applyFill="1" applyBorder="1" applyAlignment="1" applyProtection="1">
      <alignment vertical="center" wrapText="1"/>
      <protection hidden="1"/>
    </xf>
    <xf numFmtId="0" fontId="47" fillId="35" borderId="28" xfId="0" applyFont="1" applyFill="1" applyBorder="1" applyAlignment="1" applyProtection="1">
      <alignment vertical="center" wrapText="1"/>
      <protection hidden="1"/>
    </xf>
    <xf numFmtId="0" fontId="23" fillId="35" borderId="28" xfId="0" applyFont="1" applyFill="1" applyBorder="1" applyAlignment="1" applyProtection="1">
      <alignment vertical="center" wrapText="1"/>
      <protection hidden="1"/>
    </xf>
    <xf numFmtId="0" fontId="23" fillId="35" borderId="35" xfId="0" applyFont="1" applyFill="1" applyBorder="1" applyAlignment="1" applyProtection="1">
      <alignment vertical="center" wrapText="1"/>
      <protection hidden="1"/>
    </xf>
    <xf numFmtId="4" fontId="23" fillId="35" borderId="35" xfId="0" applyNumberFormat="1" applyFont="1" applyFill="1" applyBorder="1" applyAlignment="1" applyProtection="1">
      <alignment horizontal="center" vertical="center" wrapText="1"/>
      <protection hidden="1"/>
    </xf>
    <xf numFmtId="0" fontId="23" fillId="35" borderId="33" xfId="0" applyFont="1" applyFill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4" fontId="23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3" fillId="35" borderId="29" xfId="0" applyFont="1" applyFill="1" applyBorder="1" applyAlignment="1" applyProtection="1">
      <alignment vertical="center" wrapText="1"/>
      <protection hidden="1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4" fontId="49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166" fontId="0" fillId="0" borderId="0" xfId="90" applyFont="1"/>
    <xf numFmtId="0" fontId="30" fillId="0" borderId="0" xfId="0" applyFont="1"/>
    <xf numFmtId="0" fontId="54" fillId="3" borderId="0" xfId="18" applyFont="1" applyFill="1" applyAlignment="1">
      <alignment horizontal="center" vertical="center" wrapText="1"/>
    </xf>
    <xf numFmtId="0" fontId="55" fillId="3" borderId="25" xfId="18" applyFont="1" applyFill="1" applyBorder="1" applyAlignment="1">
      <alignment vertical="center" wrapText="1"/>
    </xf>
    <xf numFmtId="0" fontId="55" fillId="3" borderId="26" xfId="18" applyFont="1" applyFill="1" applyBorder="1" applyAlignment="1">
      <alignment vertical="center" wrapText="1"/>
    </xf>
    <xf numFmtId="0" fontId="56" fillId="0" borderId="26" xfId="18" applyFont="1" applyBorder="1" applyAlignment="1">
      <alignment horizontal="left" vertical="center" wrapText="1"/>
    </xf>
    <xf numFmtId="0" fontId="56" fillId="0" borderId="28" xfId="18" applyFont="1" applyBorder="1" applyAlignment="1">
      <alignment horizontal="left" vertical="center" wrapText="1"/>
    </xf>
    <xf numFmtId="0" fontId="56" fillId="0" borderId="29" xfId="18" applyFont="1" applyBorder="1" applyAlignment="1">
      <alignment horizontal="left" vertical="center" wrapText="1"/>
    </xf>
    <xf numFmtId="166" fontId="56" fillId="0" borderId="29" xfId="90" applyFont="1" applyBorder="1" applyAlignment="1">
      <alignment horizontal="left" vertical="center" wrapText="1"/>
    </xf>
    <xf numFmtId="0" fontId="56" fillId="0" borderId="29" xfId="18" applyFont="1" applyBorder="1" applyAlignment="1">
      <alignment horizontal="left" vertical="center" wrapText="1"/>
    </xf>
    <xf numFmtId="0" fontId="55" fillId="3" borderId="25" xfId="18" applyFont="1" applyFill="1" applyBorder="1" applyAlignment="1">
      <alignment horizontal="right" vertical="center" wrapText="1"/>
    </xf>
    <xf numFmtId="166" fontId="57" fillId="89" borderId="25" xfId="90" applyFont="1" applyFill="1" applyBorder="1" applyAlignment="1">
      <alignment horizontal="right" vertical="center" wrapText="1"/>
    </xf>
    <xf numFmtId="10" fontId="57" fillId="88" borderId="25" xfId="5044" applyNumberFormat="1" applyFont="1" applyFill="1" applyBorder="1" applyAlignment="1">
      <alignment horizontal="right" vertical="center" wrapText="1"/>
    </xf>
    <xf numFmtId="0" fontId="55" fillId="0" borderId="25" xfId="18" applyFont="1" applyBorder="1" applyAlignment="1">
      <alignment horizontal="right" vertical="center" wrapText="1"/>
    </xf>
    <xf numFmtId="10" fontId="57" fillId="88" borderId="25" xfId="5044" applyNumberFormat="1" applyFont="1" applyFill="1" applyBorder="1" applyAlignment="1" applyProtection="1">
      <alignment horizontal="right" vertical="center" wrapText="1"/>
    </xf>
    <xf numFmtId="0" fontId="58" fillId="92" borderId="25" xfId="18" applyFont="1" applyFill="1" applyBorder="1" applyAlignment="1" applyProtection="1">
      <alignment horizontal="center" vertical="center" wrapText="1"/>
    </xf>
    <xf numFmtId="0" fontId="58" fillId="92" borderId="27" xfId="18" applyFont="1" applyFill="1" applyBorder="1" applyAlignment="1" applyProtection="1">
      <alignment horizontal="center" vertical="center" wrapText="1"/>
    </xf>
    <xf numFmtId="0" fontId="58" fillId="92" borderId="28" xfId="18" applyFont="1" applyFill="1" applyBorder="1" applyAlignment="1" applyProtection="1">
      <alignment horizontal="center" vertical="center" wrapText="1"/>
    </xf>
    <xf numFmtId="0" fontId="58" fillId="92" borderId="29" xfId="18" applyFont="1" applyFill="1" applyBorder="1" applyAlignment="1" applyProtection="1">
      <alignment horizontal="center" vertical="center" wrapText="1"/>
    </xf>
    <xf numFmtId="166" fontId="58" fillId="92" borderId="27" xfId="90" applyFont="1" applyFill="1" applyBorder="1" applyAlignment="1" applyProtection="1">
      <alignment horizontal="center" vertical="center" wrapText="1"/>
    </xf>
    <xf numFmtId="0" fontId="58" fillId="92" borderId="14" xfId="18" applyFont="1" applyFill="1" applyBorder="1" applyAlignment="1" applyProtection="1">
      <alignment horizontal="center" vertical="center" wrapText="1"/>
    </xf>
    <xf numFmtId="166" fontId="59" fillId="92" borderId="30" xfId="90" applyFont="1" applyFill="1" applyBorder="1" applyAlignment="1" applyProtection="1">
      <alignment horizontal="center" vertical="center" wrapText="1"/>
    </xf>
    <xf numFmtId="0" fontId="58" fillId="92" borderId="30" xfId="18" applyFont="1" applyFill="1" applyBorder="1" applyAlignment="1" applyProtection="1">
      <alignment horizontal="center" vertical="center" wrapText="1"/>
    </xf>
    <xf numFmtId="166" fontId="58" fillId="92" borderId="14" xfId="90" applyFont="1" applyFill="1" applyBorder="1" applyAlignment="1" applyProtection="1">
      <alignment horizontal="center" vertical="center" wrapText="1"/>
    </xf>
    <xf numFmtId="0" fontId="60" fillId="90" borderId="25" xfId="21" applyFont="1" applyFill="1" applyBorder="1" applyAlignment="1">
      <alignment horizontal="center" vertical="center" wrapText="1"/>
    </xf>
    <xf numFmtId="0" fontId="60" fillId="90" borderId="28" xfId="21" applyFont="1" applyFill="1" applyBorder="1" applyAlignment="1">
      <alignment vertical="center" wrapText="1"/>
    </xf>
    <xf numFmtId="166" fontId="60" fillId="90" borderId="29" xfId="90" applyFont="1" applyFill="1" applyBorder="1" applyAlignment="1">
      <alignment vertical="center" wrapText="1"/>
    </xf>
    <xf numFmtId="0" fontId="60" fillId="90" borderId="29" xfId="21" applyFont="1" applyFill="1" applyBorder="1" applyAlignment="1">
      <alignment vertical="center" wrapText="1"/>
    </xf>
    <xf numFmtId="166" fontId="61" fillId="90" borderId="25" xfId="90" applyFont="1" applyFill="1" applyBorder="1" applyAlignment="1">
      <alignment horizontal="center" vertical="center" wrapText="1"/>
    </xf>
    <xf numFmtId="49" fontId="62" fillId="85" borderId="25" xfId="44" applyNumberFormat="1" applyFont="1" applyFill="1" applyBorder="1" applyAlignment="1">
      <alignment horizontal="center" vertical="center" wrapText="1"/>
    </xf>
    <xf numFmtId="0" fontId="62" fillId="85" borderId="29" xfId="0" applyFont="1" applyFill="1" applyBorder="1" applyAlignment="1">
      <alignment horizontal="justify" vertical="center" wrapText="1"/>
    </xf>
    <xf numFmtId="0" fontId="63" fillId="85" borderId="25" xfId="21" applyFont="1" applyFill="1" applyBorder="1" applyAlignment="1">
      <alignment horizontal="center" vertical="center" wrapText="1"/>
    </xf>
    <xf numFmtId="167" fontId="64" fillId="85" borderId="25" xfId="44" applyFont="1" applyFill="1" applyBorder="1" applyAlignment="1">
      <alignment vertical="center" wrapText="1"/>
    </xf>
    <xf numFmtId="166" fontId="63" fillId="85" borderId="25" xfId="90" applyFont="1" applyFill="1" applyBorder="1" applyAlignment="1">
      <alignment vertical="center" wrapText="1"/>
    </xf>
    <xf numFmtId="167" fontId="63" fillId="85" borderId="25" xfId="44" applyFont="1" applyFill="1" applyBorder="1" applyAlignment="1">
      <alignment vertical="center" wrapText="1"/>
    </xf>
    <xf numFmtId="166" fontId="64" fillId="85" borderId="25" xfId="90" applyFont="1" applyFill="1" applyBorder="1" applyAlignment="1">
      <alignment vertical="center" wrapText="1"/>
    </xf>
    <xf numFmtId="49" fontId="65" fillId="0" borderId="2" xfId="44" applyNumberFormat="1" applyFont="1" applyFill="1" applyBorder="1" applyAlignment="1">
      <alignment horizontal="center" vertical="center" wrapText="1"/>
    </xf>
    <xf numFmtId="49" fontId="65" fillId="0" borderId="25" xfId="44" applyNumberFormat="1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left" vertical="center" wrapText="1"/>
    </xf>
    <xf numFmtId="0" fontId="66" fillId="0" borderId="2" xfId="21" applyFont="1" applyFill="1" applyBorder="1" applyAlignment="1">
      <alignment horizontal="center" vertical="center" wrapText="1"/>
    </xf>
    <xf numFmtId="167" fontId="66" fillId="0" borderId="25" xfId="44" applyFont="1" applyFill="1" applyBorder="1" applyAlignment="1">
      <alignment vertical="center" wrapText="1"/>
    </xf>
    <xf numFmtId="166" fontId="66" fillId="0" borderId="25" xfId="90" applyFont="1" applyFill="1" applyBorder="1" applyAlignment="1">
      <alignment vertical="center" wrapText="1"/>
    </xf>
    <xf numFmtId="166" fontId="65" fillId="0" borderId="25" xfId="90" applyFont="1" applyFill="1" applyBorder="1" applyAlignment="1">
      <alignment vertical="center" wrapText="1"/>
    </xf>
    <xf numFmtId="166" fontId="66" fillId="0" borderId="2" xfId="90" applyFont="1" applyFill="1" applyBorder="1" applyAlignment="1">
      <alignment vertical="center" wrapText="1"/>
    </xf>
    <xf numFmtId="0" fontId="65" fillId="0" borderId="25" xfId="44" applyNumberFormat="1" applyFont="1" applyFill="1" applyBorder="1" applyAlignment="1">
      <alignment horizontal="center" vertical="center" wrapText="1"/>
    </xf>
    <xf numFmtId="0" fontId="66" fillId="0" borderId="25" xfId="21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justify" vertical="center" wrapText="1"/>
    </xf>
    <xf numFmtId="166" fontId="66" fillId="0" borderId="26" xfId="90" applyFont="1" applyFill="1" applyBorder="1" applyAlignment="1">
      <alignment vertical="center" wrapText="1"/>
    </xf>
    <xf numFmtId="166" fontId="65" fillId="0" borderId="2" xfId="90" applyFont="1" applyFill="1" applyBorder="1" applyAlignment="1">
      <alignment vertical="center" wrapText="1"/>
    </xf>
    <xf numFmtId="0" fontId="65" fillId="0" borderId="28" xfId="0" applyFont="1" applyFill="1" applyBorder="1" applyAlignment="1">
      <alignment horizontal="left" vertical="center" wrapText="1"/>
    </xf>
    <xf numFmtId="0" fontId="65" fillId="0" borderId="29" xfId="0" applyFont="1" applyBorder="1" applyAlignment="1">
      <alignment horizontal="justify" vertical="center" wrapText="1"/>
    </xf>
    <xf numFmtId="0" fontId="65" fillId="0" borderId="25" xfId="21" applyFont="1" applyBorder="1" applyAlignment="1">
      <alignment horizontal="center" vertical="center" wrapText="1"/>
    </xf>
    <xf numFmtId="0" fontId="65" fillId="0" borderId="25" xfId="21" applyFont="1" applyFill="1" applyBorder="1" applyAlignment="1">
      <alignment horizontal="center" vertical="center" wrapText="1"/>
    </xf>
    <xf numFmtId="167" fontId="66" fillId="0" borderId="28" xfId="44" applyFont="1" applyFill="1" applyBorder="1" applyAlignment="1">
      <alignment vertical="center" wrapText="1"/>
    </xf>
    <xf numFmtId="0" fontId="65" fillId="0" borderId="25" xfId="0" applyFont="1" applyBorder="1" applyAlignment="1">
      <alignment horizontal="justify" vertical="center" wrapText="1"/>
    </xf>
    <xf numFmtId="0" fontId="66" fillId="0" borderId="25" xfId="21" applyFont="1" applyBorder="1" applyAlignment="1">
      <alignment horizontal="center" vertical="center" wrapText="1"/>
    </xf>
    <xf numFmtId="0" fontId="65" fillId="0" borderId="26" xfId="0" applyFont="1" applyBorder="1" applyAlignment="1">
      <alignment horizontal="justify" vertical="center" wrapText="1"/>
    </xf>
    <xf numFmtId="0" fontId="60" fillId="90" borderId="26" xfId="21" applyFont="1" applyFill="1" applyBorder="1" applyAlignment="1">
      <alignment vertical="center" wrapText="1"/>
    </xf>
    <xf numFmtId="49" fontId="65" fillId="0" borderId="3" xfId="44" applyNumberFormat="1" applyFont="1" applyFill="1" applyBorder="1" applyAlignment="1">
      <alignment horizontal="center" vertical="center" wrapText="1"/>
    </xf>
    <xf numFmtId="0" fontId="65" fillId="0" borderId="26" xfId="44" applyNumberFormat="1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justify" vertical="center" wrapText="1"/>
    </xf>
    <xf numFmtId="0" fontId="65" fillId="0" borderId="29" xfId="21" applyFont="1" applyFill="1" applyBorder="1" applyAlignment="1">
      <alignment horizontal="center" vertical="center" wrapText="1"/>
    </xf>
    <xf numFmtId="0" fontId="62" fillId="85" borderId="25" xfId="0" applyFont="1" applyFill="1" applyBorder="1" applyAlignment="1">
      <alignment horizontal="justify" vertical="center" wrapText="1"/>
    </xf>
    <xf numFmtId="49" fontId="68" fillId="0" borderId="25" xfId="44" applyNumberFormat="1" applyFont="1" applyFill="1" applyBorder="1" applyAlignment="1">
      <alignment horizontal="center" vertical="center" wrapText="1"/>
    </xf>
    <xf numFmtId="0" fontId="68" fillId="0" borderId="25" xfId="0" applyFont="1" applyBorder="1" applyAlignment="1">
      <alignment horizontal="justify" vertical="center" wrapText="1"/>
    </xf>
    <xf numFmtId="4" fontId="65" fillId="0" borderId="25" xfId="21" applyNumberFormat="1" applyFont="1" applyFill="1" applyBorder="1" applyAlignment="1">
      <alignment horizontal="right" vertical="center" wrapText="1"/>
    </xf>
    <xf numFmtId="166" fontId="65" fillId="0" borderId="25" xfId="90" applyFont="1" applyFill="1" applyBorder="1" applyAlignment="1">
      <alignment horizontal="right" vertical="center" wrapText="1"/>
    </xf>
    <xf numFmtId="4" fontId="69" fillId="0" borderId="25" xfId="21" applyNumberFormat="1" applyFont="1" applyFill="1" applyBorder="1" applyAlignment="1">
      <alignment horizontal="right" vertical="center" wrapText="1"/>
    </xf>
    <xf numFmtId="166" fontId="69" fillId="0" borderId="25" xfId="90" applyFont="1" applyFill="1" applyBorder="1" applyAlignment="1">
      <alignment vertical="center" wrapText="1"/>
    </xf>
    <xf numFmtId="0" fontId="65" fillId="0" borderId="25" xfId="0" applyFont="1" applyBorder="1" applyAlignment="1">
      <alignment vertical="center" wrapText="1"/>
    </xf>
    <xf numFmtId="166" fontId="69" fillId="0" borderId="25" xfId="90" applyFont="1" applyFill="1" applyBorder="1" applyAlignment="1">
      <alignment horizontal="right" vertical="center" wrapText="1"/>
    </xf>
    <xf numFmtId="166" fontId="66" fillId="0" borderId="29" xfId="90" applyFont="1" applyFill="1" applyBorder="1" applyAlignment="1">
      <alignment vertical="center" wrapText="1"/>
    </xf>
    <xf numFmtId="166" fontId="65" fillId="0" borderId="29" xfId="90" applyFont="1" applyFill="1" applyBorder="1" applyAlignment="1">
      <alignment vertical="center" wrapText="1"/>
    </xf>
    <xf numFmtId="0" fontId="65" fillId="0" borderId="26" xfId="0" applyFont="1" applyFill="1" applyBorder="1" applyAlignment="1">
      <alignment horizontal="justify" vertical="center" wrapText="1"/>
    </xf>
    <xf numFmtId="49" fontId="62" fillId="93" borderId="25" xfId="44" applyNumberFormat="1" applyFont="1" applyFill="1" applyBorder="1" applyAlignment="1">
      <alignment horizontal="center" vertical="center" wrapText="1"/>
    </xf>
    <xf numFmtId="0" fontId="62" fillId="93" borderId="25" xfId="0" applyFont="1" applyFill="1" applyBorder="1" applyAlignment="1">
      <alignment horizontal="justify" vertical="center" wrapText="1"/>
    </xf>
    <xf numFmtId="0" fontId="63" fillId="93" borderId="25" xfId="21" applyFont="1" applyFill="1" applyBorder="1" applyAlignment="1">
      <alignment horizontal="center" vertical="center" wrapText="1"/>
    </xf>
    <xf numFmtId="167" fontId="64" fillId="93" borderId="25" xfId="44" applyFont="1" applyFill="1" applyBorder="1" applyAlignment="1">
      <alignment vertical="center" wrapText="1"/>
    </xf>
    <xf numFmtId="166" fontId="63" fillId="93" borderId="25" xfId="90" applyFont="1" applyFill="1" applyBorder="1" applyAlignment="1">
      <alignment vertical="center" wrapText="1"/>
    </xf>
    <xf numFmtId="167" fontId="63" fillId="93" borderId="25" xfId="44" applyFont="1" applyFill="1" applyBorder="1" applyAlignment="1">
      <alignment vertical="center" wrapText="1"/>
    </xf>
    <xf numFmtId="166" fontId="64" fillId="93" borderId="25" xfId="90" applyFont="1" applyFill="1" applyBorder="1" applyAlignment="1">
      <alignment vertical="center" wrapText="1"/>
    </xf>
    <xf numFmtId="0" fontId="65" fillId="0" borderId="2" xfId="21" applyFont="1" applyFill="1" applyBorder="1" applyAlignment="1">
      <alignment horizontal="center" vertical="center" wrapText="1"/>
    </xf>
    <xf numFmtId="0" fontId="65" fillId="0" borderId="25" xfId="0" quotePrefix="1" applyFont="1" applyFill="1" applyBorder="1" applyAlignment="1">
      <alignment horizontal="justify" vertical="center" wrapText="1"/>
    </xf>
    <xf numFmtId="0" fontId="70" fillId="0" borderId="25" xfId="0" applyFont="1" applyFill="1" applyBorder="1" applyAlignment="1">
      <alignment horizontal="justify" vertical="center" wrapText="1"/>
    </xf>
    <xf numFmtId="0" fontId="68" fillId="0" borderId="25" xfId="44" applyNumberFormat="1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justify" vertical="center" wrapText="1"/>
    </xf>
    <xf numFmtId="0" fontId="69" fillId="0" borderId="25" xfId="21" applyFont="1" applyFill="1" applyBorder="1" applyAlignment="1">
      <alignment horizontal="center" vertical="center" wrapText="1"/>
    </xf>
    <xf numFmtId="167" fontId="69" fillId="0" borderId="25" xfId="44" applyFont="1" applyFill="1" applyBorder="1" applyAlignment="1">
      <alignment vertical="center" wrapText="1"/>
    </xf>
    <xf numFmtId="166" fontId="68" fillId="0" borderId="25" xfId="90" applyFont="1" applyFill="1" applyBorder="1" applyAlignment="1">
      <alignment vertical="center" wrapText="1"/>
    </xf>
    <xf numFmtId="166" fontId="69" fillId="0" borderId="2" xfId="90" applyFont="1" applyFill="1" applyBorder="1" applyAlignment="1">
      <alignment vertical="center" wrapText="1"/>
    </xf>
    <xf numFmtId="49" fontId="65" fillId="0" borderId="26" xfId="44" applyNumberFormat="1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justify" vertical="center" wrapText="1"/>
    </xf>
    <xf numFmtId="0" fontId="65" fillId="0" borderId="2" xfId="0" applyFont="1" applyFill="1" applyBorder="1" applyAlignment="1">
      <alignment horizontal="justify" vertical="center" wrapText="1"/>
    </xf>
    <xf numFmtId="0" fontId="72" fillId="92" borderId="26" xfId="0" applyFont="1" applyFill="1" applyBorder="1" applyAlignment="1">
      <alignment horizontal="left" vertical="center"/>
    </xf>
    <xf numFmtId="0" fontId="72" fillId="92" borderId="28" xfId="0" applyFont="1" applyFill="1" applyBorder="1" applyAlignment="1">
      <alignment horizontal="left" vertical="center"/>
    </xf>
    <xf numFmtId="0" fontId="72" fillId="92" borderId="28" xfId="0" applyFont="1" applyFill="1" applyBorder="1" applyAlignment="1">
      <alignment horizontal="left" vertical="center" wrapText="1"/>
    </xf>
    <xf numFmtId="166" fontId="72" fillId="92" borderId="29" xfId="90" applyFont="1" applyFill="1" applyBorder="1" applyAlignment="1">
      <alignment horizontal="left" vertical="center" wrapText="1"/>
    </xf>
    <xf numFmtId="0" fontId="72" fillId="92" borderId="29" xfId="0" applyFont="1" applyFill="1" applyBorder="1" applyAlignment="1">
      <alignment horizontal="left" vertical="center" wrapText="1"/>
    </xf>
    <xf numFmtId="166" fontId="72" fillId="92" borderId="29" xfId="90" applyFont="1" applyFill="1" applyBorder="1" applyAlignment="1">
      <alignment vertical="center" wrapText="1"/>
    </xf>
    <xf numFmtId="0" fontId="73" fillId="0" borderId="3" xfId="18" applyFont="1" applyBorder="1" applyAlignment="1" applyProtection="1">
      <alignment horizontal="left" vertical="center" wrapText="1"/>
    </xf>
    <xf numFmtId="0" fontId="73" fillId="0" borderId="28" xfId="18" applyFont="1" applyBorder="1" applyAlignment="1" applyProtection="1">
      <alignment horizontal="left" vertical="center" wrapText="1"/>
    </xf>
    <xf numFmtId="0" fontId="73" fillId="0" borderId="4" xfId="18" applyFont="1" applyBorder="1" applyAlignment="1" applyProtection="1">
      <alignment horizontal="left" vertical="center" wrapText="1"/>
    </xf>
    <xf numFmtId="0" fontId="73" fillId="0" borderId="5" xfId="18" applyFont="1" applyBorder="1" applyAlignment="1" applyProtection="1">
      <alignment horizontal="left" vertical="center" wrapText="1"/>
    </xf>
    <xf numFmtId="4" fontId="74" fillId="0" borderId="2" xfId="0" applyNumberFormat="1" applyFont="1" applyBorder="1" applyAlignment="1">
      <alignment horizontal="center" vertical="center" wrapText="1"/>
    </xf>
    <xf numFmtId="166" fontId="74" fillId="0" borderId="2" xfId="90" applyFont="1" applyBorder="1" applyAlignment="1">
      <alignment horizontal="center" vertical="center" wrapText="1"/>
    </xf>
    <xf numFmtId="166" fontId="74" fillId="0" borderId="25" xfId="9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166" fontId="75" fillId="0" borderId="2" xfId="90" applyFont="1" applyBorder="1" applyAlignment="1">
      <alignment vertical="center" wrapText="1"/>
    </xf>
    <xf numFmtId="0" fontId="73" fillId="0" borderId="3" xfId="18" applyFont="1" applyBorder="1" applyAlignment="1" applyProtection="1">
      <alignment horizontal="left" vertical="center"/>
    </xf>
    <xf numFmtId="0" fontId="73" fillId="0" borderId="28" xfId="18" applyFont="1" applyBorder="1" applyAlignment="1" applyProtection="1">
      <alignment horizontal="left" vertical="center"/>
    </xf>
    <xf numFmtId="4" fontId="74" fillId="0" borderId="2" xfId="0" applyNumberFormat="1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54" fillId="3" borderId="17" xfId="18" applyFont="1" applyFill="1" applyBorder="1" applyAlignment="1">
      <alignment horizontal="center" vertical="center" wrapText="1"/>
    </xf>
    <xf numFmtId="0" fontId="56" fillId="0" borderId="34" xfId="18" applyFont="1" applyBorder="1" applyAlignment="1">
      <alignment horizontal="left" vertical="center" wrapText="1"/>
    </xf>
    <xf numFmtId="0" fontId="56" fillId="0" borderId="35" xfId="18" applyFont="1" applyBorder="1" applyAlignment="1">
      <alignment horizontal="left" vertical="center" wrapText="1"/>
    </xf>
    <xf numFmtId="0" fontId="55" fillId="0" borderId="27" xfId="18" applyFont="1" applyBorder="1" applyAlignment="1">
      <alignment horizontal="right" vertical="center" wrapText="1"/>
    </xf>
    <xf numFmtId="0" fontId="76" fillId="87" borderId="26" xfId="18" applyFont="1" applyFill="1" applyBorder="1" applyAlignment="1" applyProtection="1">
      <alignment horizontal="center" vertical="center" wrapText="1"/>
    </xf>
    <xf numFmtId="0" fontId="76" fillId="87" borderId="34" xfId="18" applyFont="1" applyFill="1" applyBorder="1" applyAlignment="1" applyProtection="1">
      <alignment horizontal="center" vertical="center" wrapText="1"/>
    </xf>
    <xf numFmtId="0" fontId="76" fillId="87" borderId="35" xfId="18" applyFont="1" applyFill="1" applyBorder="1" applyAlignment="1" applyProtection="1">
      <alignment horizontal="center" vertical="center" wrapText="1"/>
    </xf>
    <xf numFmtId="0" fontId="76" fillId="87" borderId="33" xfId="18" applyFont="1" applyFill="1" applyBorder="1" applyAlignment="1" applyProtection="1">
      <alignment horizontal="center" vertical="center" wrapText="1"/>
    </xf>
    <xf numFmtId="0" fontId="76" fillId="87" borderId="15" xfId="18" applyFont="1" applyFill="1" applyBorder="1" applyAlignment="1" applyProtection="1">
      <alignment horizontal="center" vertical="center" wrapText="1"/>
    </xf>
    <xf numFmtId="0" fontId="76" fillId="87" borderId="0" xfId="18" applyFont="1" applyFill="1" applyBorder="1" applyAlignment="1" applyProtection="1">
      <alignment horizontal="center" vertical="center" wrapText="1"/>
    </xf>
    <xf numFmtId="0" fontId="76" fillId="87" borderId="32" xfId="18" applyFont="1" applyFill="1" applyBorder="1" applyAlignment="1" applyProtection="1">
      <alignment horizontal="center" vertical="center" wrapText="1"/>
    </xf>
    <xf numFmtId="0" fontId="76" fillId="87" borderId="30" xfId="18" applyFont="1" applyFill="1" applyBorder="1" applyAlignment="1" applyProtection="1">
      <alignment horizontal="center" vertical="center" wrapText="1"/>
    </xf>
    <xf numFmtId="0" fontId="60" fillId="0" borderId="26" xfId="21" applyFont="1" applyFill="1" applyBorder="1" applyAlignment="1">
      <alignment horizontal="center" vertical="center" wrapText="1"/>
    </xf>
    <xf numFmtId="0" fontId="60" fillId="0" borderId="26" xfId="21" applyFont="1" applyFill="1" applyBorder="1" applyAlignment="1">
      <alignment vertical="center" wrapText="1"/>
    </xf>
    <xf numFmtId="0" fontId="60" fillId="0" borderId="28" xfId="21" applyFont="1" applyFill="1" applyBorder="1" applyAlignment="1">
      <alignment vertical="center" wrapText="1"/>
    </xf>
    <xf numFmtId="166" fontId="61" fillId="85" borderId="25" xfId="90" applyFont="1" applyFill="1" applyBorder="1" applyAlignment="1">
      <alignment horizontal="center" vertical="center" wrapText="1"/>
    </xf>
    <xf numFmtId="0" fontId="74" fillId="86" borderId="26" xfId="0" applyFont="1" applyFill="1" applyBorder="1" applyAlignment="1">
      <alignment horizontal="left" vertical="center"/>
    </xf>
    <xf numFmtId="0" fontId="74" fillId="86" borderId="17" xfId="0" applyFont="1" applyFill="1" applyBorder="1" applyAlignment="1">
      <alignment horizontal="left" vertical="center" wrapText="1"/>
    </xf>
    <xf numFmtId="0" fontId="74" fillId="86" borderId="30" xfId="0" applyFont="1" applyFill="1" applyBorder="1" applyAlignment="1">
      <alignment horizontal="left" vertical="center" wrapText="1"/>
    </xf>
    <xf numFmtId="43" fontId="74" fillId="86" borderId="29" xfId="0" applyNumberFormat="1" applyFont="1" applyFill="1" applyBorder="1" applyAlignment="1">
      <alignment vertical="center" wrapText="1"/>
    </xf>
    <xf numFmtId="4" fontId="74" fillId="0" borderId="25" xfId="0" applyNumberFormat="1" applyFont="1" applyBorder="1" applyAlignment="1">
      <alignment horizontal="center" vertical="center" wrapText="1"/>
    </xf>
    <xf numFmtId="0" fontId="75" fillId="0" borderId="2" xfId="0" applyFont="1" applyBorder="1" applyAlignment="1">
      <alignment vertical="center" wrapText="1"/>
    </xf>
    <xf numFmtId="43" fontId="74" fillId="0" borderId="25" xfId="0" applyNumberFormat="1" applyFont="1" applyBorder="1" applyAlignment="1">
      <alignment horizontal="center" vertical="center" wrapText="1"/>
    </xf>
    <xf numFmtId="0" fontId="77" fillId="0" borderId="26" xfId="0" applyFont="1" applyBorder="1" applyAlignment="1" applyProtection="1">
      <alignment horizontal="center" vertical="center" wrapText="1"/>
      <protection hidden="1"/>
    </xf>
    <xf numFmtId="0" fontId="77" fillId="0" borderId="28" xfId="0" applyFont="1" applyBorder="1" applyAlignment="1" applyProtection="1">
      <alignment horizontal="center" vertical="center" wrapText="1"/>
      <protection hidden="1"/>
    </xf>
    <xf numFmtId="0" fontId="77" fillId="0" borderId="29" xfId="0" applyFont="1" applyBorder="1" applyAlignment="1" applyProtection="1">
      <alignment horizontal="center" vertical="center" wrapText="1"/>
      <protection hidden="1"/>
    </xf>
    <xf numFmtId="0" fontId="78" fillId="35" borderId="26" xfId="0" applyFont="1" applyFill="1" applyBorder="1" applyAlignment="1" applyProtection="1">
      <alignment vertical="center" wrapText="1"/>
      <protection hidden="1"/>
    </xf>
    <xf numFmtId="0" fontId="78" fillId="35" borderId="28" xfId="0" applyFont="1" applyFill="1" applyBorder="1" applyAlignment="1" applyProtection="1">
      <alignment vertical="center" wrapText="1"/>
      <protection hidden="1"/>
    </xf>
    <xf numFmtId="0" fontId="79" fillId="35" borderId="28" xfId="0" applyFont="1" applyFill="1" applyBorder="1" applyAlignment="1" applyProtection="1">
      <alignment vertical="center" wrapText="1"/>
      <protection hidden="1"/>
    </xf>
    <xf numFmtId="4" fontId="79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79" fillId="35" borderId="29" xfId="0" applyFont="1" applyFill="1" applyBorder="1" applyAlignment="1" applyProtection="1">
      <alignment vertical="center" wrapText="1"/>
      <protection hidden="1"/>
    </xf>
    <xf numFmtId="0" fontId="80" fillId="0" borderId="25" xfId="0" applyFont="1" applyBorder="1" applyAlignment="1">
      <alignment horizontal="center" vertical="center"/>
    </xf>
    <xf numFmtId="0" fontId="81" fillId="0" borderId="25" xfId="0" applyFont="1" applyBorder="1" applyAlignment="1">
      <alignment vertical="center" wrapText="1"/>
    </xf>
    <xf numFmtId="2" fontId="81" fillId="0" borderId="25" xfId="0" applyNumberFormat="1" applyFont="1" applyBorder="1" applyAlignment="1">
      <alignment horizontal="center" vertical="center"/>
    </xf>
    <xf numFmtId="4" fontId="81" fillId="0" borderId="26" xfId="0" applyNumberFormat="1" applyFont="1" applyBorder="1" applyAlignment="1">
      <alignment vertical="center"/>
    </xf>
    <xf numFmtId="4" fontId="81" fillId="0" borderId="25" xfId="0" applyNumberFormat="1" applyFont="1" applyBorder="1" applyAlignment="1">
      <alignment horizontal="center" vertical="center"/>
    </xf>
    <xf numFmtId="0" fontId="82" fillId="91" borderId="25" xfId="0" applyFont="1" applyFill="1" applyBorder="1" applyAlignment="1" applyProtection="1">
      <alignment horizontal="center" vertical="center"/>
      <protection hidden="1"/>
    </xf>
    <xf numFmtId="0" fontId="82" fillId="91" borderId="26" xfId="0" applyFont="1" applyFill="1" applyBorder="1" applyAlignment="1" applyProtection="1">
      <alignment horizontal="justify" vertical="center" wrapText="1"/>
      <protection hidden="1"/>
    </xf>
    <xf numFmtId="0" fontId="82" fillId="91" borderId="28" xfId="0" applyFont="1" applyFill="1" applyBorder="1" applyAlignment="1" applyProtection="1">
      <alignment horizontal="center" vertical="center"/>
      <protection hidden="1"/>
    </xf>
    <xf numFmtId="4" fontId="83" fillId="91" borderId="28" xfId="0" applyNumberFormat="1" applyFont="1" applyFill="1" applyBorder="1" applyAlignment="1">
      <alignment horizontal="center" vertical="center"/>
    </xf>
    <xf numFmtId="4" fontId="84" fillId="91" borderId="28" xfId="0" applyNumberFormat="1" applyFont="1" applyFill="1" applyBorder="1" applyAlignment="1">
      <alignment horizontal="center" vertical="center"/>
    </xf>
    <xf numFmtId="4" fontId="84" fillId="91" borderId="29" xfId="0" applyNumberFormat="1" applyFont="1" applyFill="1" applyBorder="1" applyAlignment="1">
      <alignment horizontal="center" vertical="center"/>
    </xf>
    <xf numFmtId="0" fontId="82" fillId="89" borderId="25" xfId="0" applyFont="1" applyFill="1" applyBorder="1" applyAlignment="1" applyProtection="1">
      <alignment horizontal="center" vertical="center"/>
      <protection hidden="1"/>
    </xf>
    <xf numFmtId="0" fontId="82" fillId="89" borderId="26" xfId="0" applyFont="1" applyFill="1" applyBorder="1" applyAlignment="1" applyProtection="1">
      <alignment horizontal="justify" vertical="center" wrapText="1"/>
      <protection hidden="1"/>
    </xf>
    <xf numFmtId="0" fontId="82" fillId="89" borderId="35" xfId="0" applyFont="1" applyFill="1" applyBorder="1" applyAlignment="1" applyProtection="1">
      <alignment horizontal="center" vertical="center"/>
      <protection hidden="1"/>
    </xf>
    <xf numFmtId="4" fontId="83" fillId="89" borderId="35" xfId="0" applyNumberFormat="1" applyFont="1" applyFill="1" applyBorder="1" applyAlignment="1">
      <alignment horizontal="center" vertical="center"/>
    </xf>
    <xf numFmtId="4" fontId="85" fillId="89" borderId="35" xfId="0" applyNumberFormat="1" applyFont="1" applyFill="1" applyBorder="1" applyAlignment="1">
      <alignment horizontal="center" vertical="center"/>
    </xf>
    <xf numFmtId="4" fontId="85" fillId="89" borderId="33" xfId="0" applyNumberFormat="1" applyFont="1" applyFill="1" applyBorder="1" applyAlignment="1">
      <alignment horizontal="center" vertical="center"/>
    </xf>
    <xf numFmtId="0" fontId="86" fillId="0" borderId="27" xfId="0" applyFont="1" applyBorder="1" applyAlignment="1" applyProtection="1">
      <alignment horizontal="center" vertical="center"/>
      <protection hidden="1"/>
    </xf>
    <xf numFmtId="0" fontId="87" fillId="0" borderId="27" xfId="0" applyFont="1" applyBorder="1" applyAlignment="1">
      <alignment horizontal="justify" vertical="center" wrapText="1"/>
    </xf>
    <xf numFmtId="0" fontId="87" fillId="0" borderId="27" xfId="0" applyFont="1" applyBorder="1" applyAlignment="1">
      <alignment horizontal="center" vertical="center"/>
    </xf>
    <xf numFmtId="4" fontId="87" fillId="0" borderId="34" xfId="0" applyNumberFormat="1" applyFont="1" applyBorder="1" applyAlignment="1">
      <alignment horizontal="center" vertical="center"/>
    </xf>
    <xf numFmtId="4" fontId="87" fillId="0" borderId="27" xfId="0" applyNumberFormat="1" applyFont="1" applyBorder="1" applyAlignment="1">
      <alignment horizontal="center" vertical="center"/>
    </xf>
    <xf numFmtId="4" fontId="81" fillId="0" borderId="27" xfId="0" applyNumberFormat="1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/>
    </xf>
    <xf numFmtId="0" fontId="88" fillId="0" borderId="31" xfId="0" applyFont="1" applyBorder="1" applyAlignment="1">
      <alignment horizontal="right" vertical="center" wrapText="1"/>
    </xf>
    <xf numFmtId="0" fontId="87" fillId="0" borderId="31" xfId="0" applyFont="1" applyBorder="1" applyAlignment="1">
      <alignment horizontal="center" vertical="center"/>
    </xf>
    <xf numFmtId="4" fontId="87" fillId="0" borderId="15" xfId="0" applyNumberFormat="1" applyFont="1" applyBorder="1" applyAlignment="1">
      <alignment horizontal="center" vertical="center"/>
    </xf>
    <xf numFmtId="4" fontId="87" fillId="0" borderId="31" xfId="0" applyNumberFormat="1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8" fillId="0" borderId="14" xfId="0" applyFont="1" applyBorder="1" applyAlignment="1">
      <alignment horizontal="right" vertical="center" wrapText="1"/>
    </xf>
    <xf numFmtId="0" fontId="87" fillId="0" borderId="14" xfId="0" applyFont="1" applyBorder="1" applyAlignment="1">
      <alignment horizontal="center" vertical="center"/>
    </xf>
    <xf numFmtId="4" fontId="87" fillId="0" borderId="16" xfId="0" applyNumberFormat="1" applyFont="1" applyBorder="1" applyAlignment="1">
      <alignment horizontal="center" vertical="center"/>
    </xf>
    <xf numFmtId="4" fontId="87" fillId="0" borderId="14" xfId="0" applyNumberFormat="1" applyFont="1" applyBorder="1" applyAlignment="1">
      <alignment horizontal="center" vertical="center"/>
    </xf>
    <xf numFmtId="0" fontId="86" fillId="0" borderId="27" xfId="0" applyFont="1" applyFill="1" applyBorder="1" applyAlignment="1" applyProtection="1">
      <alignment horizontal="center" vertical="center"/>
      <protection hidden="1"/>
    </xf>
    <xf numFmtId="0" fontId="87" fillId="0" borderId="27" xfId="0" applyFont="1" applyFill="1" applyBorder="1" applyAlignment="1">
      <alignment horizontal="justify" vertical="center" wrapText="1"/>
    </xf>
    <xf numFmtId="0" fontId="87" fillId="0" borderId="27" xfId="0" applyFont="1" applyFill="1" applyBorder="1" applyAlignment="1">
      <alignment horizontal="center" vertical="center"/>
    </xf>
    <xf numFmtId="4" fontId="81" fillId="0" borderId="34" xfId="0" applyNumberFormat="1" applyFont="1" applyFill="1" applyBorder="1" applyAlignment="1">
      <alignment horizontal="center" vertical="center"/>
    </xf>
    <xf numFmtId="4" fontId="87" fillId="0" borderId="27" xfId="0" applyNumberFormat="1" applyFont="1" applyFill="1" applyBorder="1" applyAlignment="1">
      <alignment horizontal="center" vertical="center"/>
    </xf>
    <xf numFmtId="4" fontId="81" fillId="0" borderId="27" xfId="0" applyNumberFormat="1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right" vertical="center" wrapText="1"/>
    </xf>
    <xf numFmtId="0" fontId="87" fillId="0" borderId="31" xfId="0" applyFont="1" applyFill="1" applyBorder="1" applyAlignment="1">
      <alignment horizontal="center" vertical="center"/>
    </xf>
    <xf numFmtId="4" fontId="87" fillId="0" borderId="15" xfId="0" applyNumberFormat="1" applyFont="1" applyFill="1" applyBorder="1" applyAlignment="1">
      <alignment horizontal="center" vertical="center"/>
    </xf>
    <xf numFmtId="4" fontId="87" fillId="0" borderId="31" xfId="0" applyNumberFormat="1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right" vertical="center" wrapText="1"/>
    </xf>
    <xf numFmtId="0" fontId="87" fillId="0" borderId="14" xfId="0" applyFont="1" applyFill="1" applyBorder="1" applyAlignment="1">
      <alignment horizontal="center" vertical="center"/>
    </xf>
    <xf numFmtId="4" fontId="87" fillId="0" borderId="16" xfId="0" applyNumberFormat="1" applyFont="1" applyFill="1" applyBorder="1" applyAlignment="1">
      <alignment horizontal="center" vertical="center"/>
    </xf>
    <xf numFmtId="4" fontId="87" fillId="0" borderId="14" xfId="0" applyNumberFormat="1" applyFont="1" applyFill="1" applyBorder="1" applyAlignment="1">
      <alignment horizontal="center" vertical="center"/>
    </xf>
    <xf numFmtId="4" fontId="81" fillId="0" borderId="34" xfId="0" applyNumberFormat="1" applyFont="1" applyBorder="1" applyAlignment="1">
      <alignment horizontal="center" vertical="center"/>
    </xf>
    <xf numFmtId="0" fontId="82" fillId="90" borderId="25" xfId="0" applyFont="1" applyFill="1" applyBorder="1" applyAlignment="1" applyProtection="1">
      <alignment horizontal="center" vertical="center"/>
      <protection hidden="1"/>
    </xf>
    <xf numFmtId="0" fontId="82" fillId="90" borderId="26" xfId="0" applyFont="1" applyFill="1" applyBorder="1" applyAlignment="1" applyProtection="1">
      <alignment horizontal="justify" vertical="center" wrapText="1"/>
      <protection hidden="1"/>
    </xf>
    <xf numFmtId="0" fontId="82" fillId="90" borderId="28" xfId="0" applyFont="1" applyFill="1" applyBorder="1" applyAlignment="1" applyProtection="1">
      <alignment horizontal="center" vertical="center"/>
      <protection hidden="1"/>
    </xf>
    <xf numFmtId="4" fontId="83" fillId="90" borderId="28" xfId="0" applyNumberFormat="1" applyFont="1" applyFill="1" applyBorder="1" applyAlignment="1">
      <alignment horizontal="center" vertical="center"/>
    </xf>
    <xf numFmtId="4" fontId="84" fillId="90" borderId="28" xfId="0" applyNumberFormat="1" applyFont="1" applyFill="1" applyBorder="1" applyAlignment="1">
      <alignment horizontal="center" vertical="center"/>
    </xf>
    <xf numFmtId="4" fontId="84" fillId="90" borderId="29" xfId="0" applyNumberFormat="1" applyFont="1" applyFill="1" applyBorder="1" applyAlignment="1">
      <alignment horizontal="center" vertical="center"/>
    </xf>
    <xf numFmtId="0" fontId="82" fillId="89" borderId="28" xfId="0" applyFont="1" applyFill="1" applyBorder="1" applyAlignment="1" applyProtection="1">
      <alignment horizontal="center" vertical="center"/>
      <protection hidden="1"/>
    </xf>
    <xf numFmtId="4" fontId="83" fillId="89" borderId="28" xfId="0" applyNumberFormat="1" applyFont="1" applyFill="1" applyBorder="1" applyAlignment="1">
      <alignment horizontal="center" vertical="center"/>
    </xf>
    <xf numFmtId="4" fontId="85" fillId="89" borderId="28" xfId="0" applyNumberFormat="1" applyFont="1" applyFill="1" applyBorder="1" applyAlignment="1">
      <alignment horizontal="center" vertical="center"/>
    </xf>
    <xf numFmtId="4" fontId="85" fillId="89" borderId="29" xfId="0" applyNumberFormat="1" applyFont="1" applyFill="1" applyBorder="1" applyAlignment="1">
      <alignment horizontal="center" vertical="center"/>
    </xf>
    <xf numFmtId="0" fontId="86" fillId="0" borderId="27" xfId="0" applyFont="1" applyFill="1" applyBorder="1" applyAlignment="1" applyProtection="1">
      <alignment horizontal="center" vertical="top"/>
      <protection hidden="1"/>
    </xf>
    <xf numFmtId="0" fontId="87" fillId="0" borderId="31" xfId="0" applyFont="1" applyFill="1" applyBorder="1" applyAlignment="1">
      <alignment horizontal="justify" vertical="center" wrapText="1"/>
    </xf>
    <xf numFmtId="0" fontId="90" fillId="0" borderId="27" xfId="0" applyFont="1" applyFill="1" applyBorder="1" applyAlignment="1">
      <alignment horizontal="justify" vertical="center" wrapText="1"/>
    </xf>
    <xf numFmtId="0" fontId="80" fillId="0" borderId="31" xfId="0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right" vertical="center" wrapText="1"/>
    </xf>
    <xf numFmtId="0" fontId="91" fillId="0" borderId="31" xfId="0" applyFont="1" applyFill="1" applyBorder="1" applyAlignment="1">
      <alignment horizontal="right" vertical="center" wrapText="1"/>
    </xf>
    <xf numFmtId="0" fontId="90" fillId="0" borderId="27" xfId="0" applyFont="1" applyFill="1" applyBorder="1" applyAlignment="1">
      <alignment horizontal="center" vertical="center"/>
    </xf>
    <xf numFmtId="4" fontId="84" fillId="0" borderId="34" xfId="0" applyNumberFormat="1" applyFont="1" applyFill="1" applyBorder="1" applyAlignment="1">
      <alignment horizontal="center" vertical="center"/>
    </xf>
    <xf numFmtId="0" fontId="90" fillId="0" borderId="31" xfId="0" applyFont="1" applyFill="1" applyBorder="1" applyAlignment="1">
      <alignment horizontal="center" vertical="center"/>
    </xf>
    <xf numFmtId="4" fontId="85" fillId="0" borderId="15" xfId="0" applyNumberFormat="1" applyFont="1" applyFill="1" applyBorder="1" applyAlignment="1">
      <alignment horizontal="center" vertical="center"/>
    </xf>
    <xf numFmtId="0" fontId="86" fillId="0" borderId="34" xfId="0" applyFont="1" applyFill="1" applyBorder="1" applyAlignment="1" applyProtection="1">
      <alignment horizontal="center" vertical="center"/>
      <protection hidden="1"/>
    </xf>
    <xf numFmtId="0" fontId="87" fillId="0" borderId="35" xfId="0" applyFont="1" applyFill="1" applyBorder="1" applyAlignment="1">
      <alignment horizontal="center" vertical="center"/>
    </xf>
    <xf numFmtId="4" fontId="87" fillId="0" borderId="35" xfId="0" applyNumberFormat="1" applyFont="1" applyFill="1" applyBorder="1" applyAlignment="1">
      <alignment horizontal="center" vertical="center"/>
    </xf>
    <xf numFmtId="4" fontId="81" fillId="0" borderId="33" xfId="0" applyNumberFormat="1" applyFont="1" applyFill="1" applyBorder="1" applyAlignment="1">
      <alignment horizontal="center" vertical="center"/>
    </xf>
    <xf numFmtId="4" fontId="85" fillId="0" borderId="31" xfId="0" applyNumberFormat="1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right" vertical="center" wrapText="1"/>
    </xf>
    <xf numFmtId="0" fontId="90" fillId="0" borderId="14" xfId="0" applyFont="1" applyFill="1" applyBorder="1" applyAlignment="1">
      <alignment horizontal="center" vertical="center"/>
    </xf>
    <xf numFmtId="4" fontId="85" fillId="0" borderId="16" xfId="0" applyNumberFormat="1" applyFont="1" applyFill="1" applyBorder="1" applyAlignment="1">
      <alignment horizontal="center" vertical="center"/>
    </xf>
    <xf numFmtId="4" fontId="85" fillId="0" borderId="14" xfId="0" applyNumberFormat="1" applyFont="1" applyFill="1" applyBorder="1" applyAlignment="1">
      <alignment horizontal="center" vertical="center"/>
    </xf>
    <xf numFmtId="3" fontId="82" fillId="89" borderId="25" xfId="0" applyNumberFormat="1" applyFont="1" applyFill="1" applyBorder="1" applyAlignment="1" applyProtection="1">
      <alignment horizontal="center" vertical="center"/>
      <protection hidden="1"/>
    </xf>
    <xf numFmtId="0" fontId="81" fillId="0" borderId="31" xfId="0" applyFont="1" applyFill="1" applyBorder="1" applyAlignment="1">
      <alignment horizontal="right" vertical="center" wrapText="1"/>
    </xf>
    <xf numFmtId="0" fontId="93" fillId="0" borderId="14" xfId="0" applyFont="1" applyFill="1" applyBorder="1" applyAlignment="1">
      <alignment horizontal="right" vertical="center" wrapText="1"/>
    </xf>
    <xf numFmtId="0" fontId="90" fillId="0" borderId="35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right" vertical="center" wrapText="1"/>
    </xf>
    <xf numFmtId="167" fontId="94" fillId="0" borderId="36" xfId="181" applyFont="1" applyFill="1" applyBorder="1" applyAlignment="1">
      <alignment vertical="center" wrapText="1"/>
    </xf>
    <xf numFmtId="4" fontId="87" fillId="0" borderId="31" xfId="0" applyNumberFormat="1" applyFont="1" applyFill="1" applyBorder="1" applyAlignment="1">
      <alignment horizontal="center" vertical="center" wrapText="1"/>
    </xf>
    <xf numFmtId="4" fontId="85" fillId="0" borderId="27" xfId="0" applyNumberFormat="1" applyFont="1" applyFill="1" applyBorder="1" applyAlignment="1">
      <alignment horizontal="center" vertical="center"/>
    </xf>
    <xf numFmtId="0" fontId="92" fillId="0" borderId="31" xfId="0" applyFont="1" applyFill="1" applyBorder="1" applyAlignment="1">
      <alignment horizontal="right" vertical="center" wrapText="1"/>
    </xf>
    <xf numFmtId="0" fontId="90" fillId="0" borderId="27" xfId="0" applyFont="1" applyFill="1" applyBorder="1" applyAlignment="1">
      <alignment horizontal="left" vertical="center" wrapText="1"/>
    </xf>
    <xf numFmtId="0" fontId="91" fillId="0" borderId="14" xfId="0" applyFont="1" applyFill="1" applyBorder="1" applyAlignment="1">
      <alignment horizontal="right" vertical="center" wrapText="1"/>
    </xf>
    <xf numFmtId="0" fontId="90" fillId="0" borderId="31" xfId="0" applyFont="1" applyFill="1" applyBorder="1" applyAlignment="1">
      <alignment horizontal="right" vertical="center" wrapText="1"/>
    </xf>
    <xf numFmtId="0" fontId="86" fillId="90" borderId="28" xfId="0" applyFont="1" applyFill="1" applyBorder="1" applyAlignment="1" applyProtection="1">
      <alignment horizontal="center" vertical="center"/>
      <protection hidden="1"/>
    </xf>
    <xf numFmtId="4" fontId="96" fillId="90" borderId="28" xfId="0" applyNumberFormat="1" applyFont="1" applyFill="1" applyBorder="1" applyAlignment="1">
      <alignment horizontal="center" vertical="center"/>
    </xf>
    <xf numFmtId="4" fontId="85" fillId="90" borderId="28" xfId="0" applyNumberFormat="1" applyFont="1" applyFill="1" applyBorder="1" applyAlignment="1">
      <alignment horizontal="center" vertical="center"/>
    </xf>
    <xf numFmtId="4" fontId="85" fillId="90" borderId="29" xfId="0" applyNumberFormat="1" applyFont="1" applyFill="1" applyBorder="1" applyAlignment="1">
      <alignment horizontal="center" vertical="center"/>
    </xf>
    <xf numFmtId="0" fontId="86" fillId="0" borderId="31" xfId="0" applyFont="1" applyFill="1" applyBorder="1" applyAlignment="1" applyProtection="1">
      <alignment horizontal="center" vertical="center"/>
      <protection hidden="1"/>
    </xf>
    <xf numFmtId="4" fontId="81" fillId="0" borderId="15" xfId="0" applyNumberFormat="1" applyFont="1" applyFill="1" applyBorder="1" applyAlignment="1">
      <alignment horizontal="center" vertical="center"/>
    </xf>
    <xf numFmtId="4" fontId="81" fillId="0" borderId="31" xfId="0" applyNumberFormat="1" applyFont="1" applyFill="1" applyBorder="1" applyAlignment="1">
      <alignment horizontal="center" vertical="center"/>
    </xf>
    <xf numFmtId="4" fontId="87" fillId="0" borderId="26" xfId="0" applyNumberFormat="1" applyFont="1" applyFill="1" applyBorder="1" applyAlignment="1">
      <alignment horizontal="center" vertical="center"/>
    </xf>
    <xf numFmtId="4" fontId="87" fillId="0" borderId="25" xfId="0" applyNumberFormat="1" applyFont="1" applyFill="1" applyBorder="1" applyAlignment="1">
      <alignment horizontal="center" vertical="center"/>
    </xf>
    <xf numFmtId="0" fontId="86" fillId="0" borderId="14" xfId="0" applyFont="1" applyFill="1" applyBorder="1" applyAlignment="1" applyProtection="1">
      <alignment horizontal="center" vertical="center"/>
      <protection hidden="1"/>
    </xf>
    <xf numFmtId="0" fontId="97" fillId="0" borderId="0" xfId="0" applyFont="1" applyAlignment="1">
      <alignment horizontal="center" wrapText="1"/>
    </xf>
    <xf numFmtId="0" fontId="98" fillId="0" borderId="15" xfId="0" applyFont="1" applyBorder="1" applyAlignment="1">
      <alignment horizontal="center" wrapText="1"/>
    </xf>
    <xf numFmtId="0" fontId="98" fillId="0" borderId="0" xfId="0" applyFont="1" applyBorder="1" applyAlignment="1">
      <alignment horizontal="center" wrapText="1"/>
    </xf>
    <xf numFmtId="0" fontId="97" fillId="0" borderId="15" xfId="0" applyFont="1" applyBorder="1" applyAlignment="1">
      <alignment horizontal="center" wrapText="1"/>
    </xf>
  </cellXfs>
  <cellStyles count="5046">
    <cellStyle name="20% - Accent1" xfId="45" xr:uid="{00000000-0005-0000-0000-000000000000}"/>
    <cellStyle name="20% - Accent2" xfId="46" xr:uid="{00000000-0005-0000-0000-000001000000}"/>
    <cellStyle name="20% - Accent3" xfId="47" xr:uid="{00000000-0005-0000-0000-000002000000}"/>
    <cellStyle name="20% - Accent4" xfId="48" xr:uid="{00000000-0005-0000-0000-000003000000}"/>
    <cellStyle name="20% - Accent5" xfId="49" xr:uid="{00000000-0005-0000-0000-000004000000}"/>
    <cellStyle name="20% - Accent6" xfId="50" xr:uid="{00000000-0005-0000-0000-000005000000}"/>
    <cellStyle name="20% - Ênfase1 10" xfId="184" xr:uid="{00000000-0005-0000-0000-000006000000}"/>
    <cellStyle name="20% - Ênfase1 10 2" xfId="185" xr:uid="{00000000-0005-0000-0000-000007000000}"/>
    <cellStyle name="20% - Ênfase1 11" xfId="186" xr:uid="{00000000-0005-0000-0000-000008000000}"/>
    <cellStyle name="20% - Ênfase1 11 2" xfId="187" xr:uid="{00000000-0005-0000-0000-000009000000}"/>
    <cellStyle name="20% - Ênfase1 12" xfId="188" xr:uid="{00000000-0005-0000-0000-00000A000000}"/>
    <cellStyle name="20% - Ênfase1 12 2" xfId="189" xr:uid="{00000000-0005-0000-0000-00000B000000}"/>
    <cellStyle name="20% - Ênfase1 13" xfId="190" xr:uid="{00000000-0005-0000-0000-00000C000000}"/>
    <cellStyle name="20% - Ênfase1 13 2" xfId="191" xr:uid="{00000000-0005-0000-0000-00000D000000}"/>
    <cellStyle name="20% - Ênfase1 14" xfId="192" xr:uid="{00000000-0005-0000-0000-00000E000000}"/>
    <cellStyle name="20% - Ênfase1 14 2" xfId="193" xr:uid="{00000000-0005-0000-0000-00000F000000}"/>
    <cellStyle name="20% - Ênfase1 15" xfId="194" xr:uid="{00000000-0005-0000-0000-000010000000}"/>
    <cellStyle name="20% - Ênfase1 15 2" xfId="195" xr:uid="{00000000-0005-0000-0000-000011000000}"/>
    <cellStyle name="20% - Ênfase1 16" xfId="196" xr:uid="{00000000-0005-0000-0000-000012000000}"/>
    <cellStyle name="20% - Ênfase1 16 2" xfId="197" xr:uid="{00000000-0005-0000-0000-000013000000}"/>
    <cellStyle name="20% - Ênfase1 17" xfId="198" xr:uid="{00000000-0005-0000-0000-000014000000}"/>
    <cellStyle name="20% - Ênfase1 17 2" xfId="199" xr:uid="{00000000-0005-0000-0000-000015000000}"/>
    <cellStyle name="20% - Ênfase1 18" xfId="200" xr:uid="{00000000-0005-0000-0000-000016000000}"/>
    <cellStyle name="20% - Ênfase1 18 2" xfId="201" xr:uid="{00000000-0005-0000-0000-000017000000}"/>
    <cellStyle name="20% - Ênfase1 19" xfId="202" xr:uid="{00000000-0005-0000-0000-000018000000}"/>
    <cellStyle name="20% - Ênfase1 19 2" xfId="203" xr:uid="{00000000-0005-0000-0000-000019000000}"/>
    <cellStyle name="20% - Ênfase1 2" xfId="204" xr:uid="{00000000-0005-0000-0000-00001A000000}"/>
    <cellStyle name="20% - Ênfase1 2 2" xfId="205" xr:uid="{00000000-0005-0000-0000-00001B000000}"/>
    <cellStyle name="20% - Ênfase1 2 2 2" xfId="206" xr:uid="{00000000-0005-0000-0000-00001C000000}"/>
    <cellStyle name="20% - Ênfase1 20" xfId="207" xr:uid="{00000000-0005-0000-0000-00001D000000}"/>
    <cellStyle name="20% - Ênfase1 20 2" xfId="208" xr:uid="{00000000-0005-0000-0000-00001E000000}"/>
    <cellStyle name="20% - Ênfase1 21" xfId="209" xr:uid="{00000000-0005-0000-0000-00001F000000}"/>
    <cellStyle name="20% - Ênfase1 21 2" xfId="210" xr:uid="{00000000-0005-0000-0000-000020000000}"/>
    <cellStyle name="20% - Ênfase1 22" xfId="211" xr:uid="{00000000-0005-0000-0000-000021000000}"/>
    <cellStyle name="20% - Ênfase1 22 2" xfId="212" xr:uid="{00000000-0005-0000-0000-000022000000}"/>
    <cellStyle name="20% - Ênfase1 23" xfId="213" xr:uid="{00000000-0005-0000-0000-000023000000}"/>
    <cellStyle name="20% - Ênfase1 23 2" xfId="214" xr:uid="{00000000-0005-0000-0000-000024000000}"/>
    <cellStyle name="20% - Ênfase1 24" xfId="215" xr:uid="{00000000-0005-0000-0000-000025000000}"/>
    <cellStyle name="20% - Ênfase1 24 2" xfId="216" xr:uid="{00000000-0005-0000-0000-000026000000}"/>
    <cellStyle name="20% - Ênfase1 25" xfId="217" xr:uid="{00000000-0005-0000-0000-000027000000}"/>
    <cellStyle name="20% - Ênfase1 25 2" xfId="218" xr:uid="{00000000-0005-0000-0000-000028000000}"/>
    <cellStyle name="20% - Ênfase1 26" xfId="219" xr:uid="{00000000-0005-0000-0000-000029000000}"/>
    <cellStyle name="20% - Ênfase1 26 2" xfId="220" xr:uid="{00000000-0005-0000-0000-00002A000000}"/>
    <cellStyle name="20% - Ênfase1 27" xfId="221" xr:uid="{00000000-0005-0000-0000-00002B000000}"/>
    <cellStyle name="20% - Ênfase1 27 2" xfId="222" xr:uid="{00000000-0005-0000-0000-00002C000000}"/>
    <cellStyle name="20% - Ênfase1 28" xfId="223" xr:uid="{00000000-0005-0000-0000-00002D000000}"/>
    <cellStyle name="20% - Ênfase1 28 2" xfId="224" xr:uid="{00000000-0005-0000-0000-00002E000000}"/>
    <cellStyle name="20% - Ênfase1 29" xfId="225" xr:uid="{00000000-0005-0000-0000-00002F000000}"/>
    <cellStyle name="20% - Ênfase1 29 2" xfId="226" xr:uid="{00000000-0005-0000-0000-000030000000}"/>
    <cellStyle name="20% - Ênfase1 3" xfId="227" xr:uid="{00000000-0005-0000-0000-000031000000}"/>
    <cellStyle name="20% - Ênfase1 3 2" xfId="228" xr:uid="{00000000-0005-0000-0000-000032000000}"/>
    <cellStyle name="20% - Ênfase1 30" xfId="229" xr:uid="{00000000-0005-0000-0000-000033000000}"/>
    <cellStyle name="20% - Ênfase1 30 2" xfId="230" xr:uid="{00000000-0005-0000-0000-000034000000}"/>
    <cellStyle name="20% - Ênfase1 31" xfId="231" xr:uid="{00000000-0005-0000-0000-000035000000}"/>
    <cellStyle name="20% - Ênfase1 31 2" xfId="232" xr:uid="{00000000-0005-0000-0000-000036000000}"/>
    <cellStyle name="20% - Ênfase1 32" xfId="233" xr:uid="{00000000-0005-0000-0000-000037000000}"/>
    <cellStyle name="20% - Ênfase1 32 2" xfId="234" xr:uid="{00000000-0005-0000-0000-000038000000}"/>
    <cellStyle name="20% - Ênfase1 33" xfId="235" xr:uid="{00000000-0005-0000-0000-000039000000}"/>
    <cellStyle name="20% - Ênfase1 33 2" xfId="236" xr:uid="{00000000-0005-0000-0000-00003A000000}"/>
    <cellStyle name="20% - Ênfase1 34" xfId="237" xr:uid="{00000000-0005-0000-0000-00003B000000}"/>
    <cellStyle name="20% - Ênfase1 34 2" xfId="238" xr:uid="{00000000-0005-0000-0000-00003C000000}"/>
    <cellStyle name="20% - Ênfase1 35" xfId="239" xr:uid="{00000000-0005-0000-0000-00003D000000}"/>
    <cellStyle name="20% - Ênfase1 35 2" xfId="240" xr:uid="{00000000-0005-0000-0000-00003E000000}"/>
    <cellStyle name="20% - Ênfase1 36" xfId="241" xr:uid="{00000000-0005-0000-0000-00003F000000}"/>
    <cellStyle name="20% - Ênfase1 36 2" xfId="242" xr:uid="{00000000-0005-0000-0000-000040000000}"/>
    <cellStyle name="20% - Ênfase1 37" xfId="243" xr:uid="{00000000-0005-0000-0000-000041000000}"/>
    <cellStyle name="20% - Ênfase1 37 2" xfId="244" xr:uid="{00000000-0005-0000-0000-000042000000}"/>
    <cellStyle name="20% - Ênfase1 4" xfId="245" xr:uid="{00000000-0005-0000-0000-000043000000}"/>
    <cellStyle name="20% - Ênfase1 4 2" xfId="246" xr:uid="{00000000-0005-0000-0000-000044000000}"/>
    <cellStyle name="20% - Ênfase1 5" xfId="247" xr:uid="{00000000-0005-0000-0000-000045000000}"/>
    <cellStyle name="20% - Ênfase1 5 2" xfId="248" xr:uid="{00000000-0005-0000-0000-000046000000}"/>
    <cellStyle name="20% - Ênfase1 6" xfId="249" xr:uid="{00000000-0005-0000-0000-000047000000}"/>
    <cellStyle name="20% - Ênfase1 6 2" xfId="250" xr:uid="{00000000-0005-0000-0000-000048000000}"/>
    <cellStyle name="20% - Ênfase1 7" xfId="251" xr:uid="{00000000-0005-0000-0000-000049000000}"/>
    <cellStyle name="20% - Ênfase1 7 2" xfId="252" xr:uid="{00000000-0005-0000-0000-00004A000000}"/>
    <cellStyle name="20% - Ênfase1 8" xfId="253" xr:uid="{00000000-0005-0000-0000-00004B000000}"/>
    <cellStyle name="20% - Ênfase1 8 2" xfId="254" xr:uid="{00000000-0005-0000-0000-00004C000000}"/>
    <cellStyle name="20% - Ênfase1 9" xfId="255" xr:uid="{00000000-0005-0000-0000-00004D000000}"/>
    <cellStyle name="20% - Ênfase1 9 2" xfId="256" xr:uid="{00000000-0005-0000-0000-00004E000000}"/>
    <cellStyle name="20% - Ênfase2 10" xfId="257" xr:uid="{00000000-0005-0000-0000-00004F000000}"/>
    <cellStyle name="20% - Ênfase2 10 2" xfId="258" xr:uid="{00000000-0005-0000-0000-000050000000}"/>
    <cellStyle name="20% - Ênfase2 11" xfId="259" xr:uid="{00000000-0005-0000-0000-000051000000}"/>
    <cellStyle name="20% - Ênfase2 11 2" xfId="260" xr:uid="{00000000-0005-0000-0000-000052000000}"/>
    <cellStyle name="20% - Ênfase2 12" xfId="261" xr:uid="{00000000-0005-0000-0000-000053000000}"/>
    <cellStyle name="20% - Ênfase2 12 2" xfId="262" xr:uid="{00000000-0005-0000-0000-000054000000}"/>
    <cellStyle name="20% - Ênfase2 13" xfId="263" xr:uid="{00000000-0005-0000-0000-000055000000}"/>
    <cellStyle name="20% - Ênfase2 13 2" xfId="264" xr:uid="{00000000-0005-0000-0000-000056000000}"/>
    <cellStyle name="20% - Ênfase2 14" xfId="265" xr:uid="{00000000-0005-0000-0000-000057000000}"/>
    <cellStyle name="20% - Ênfase2 14 2" xfId="266" xr:uid="{00000000-0005-0000-0000-000058000000}"/>
    <cellStyle name="20% - Ênfase2 15" xfId="267" xr:uid="{00000000-0005-0000-0000-000059000000}"/>
    <cellStyle name="20% - Ênfase2 15 2" xfId="268" xr:uid="{00000000-0005-0000-0000-00005A000000}"/>
    <cellStyle name="20% - Ênfase2 16" xfId="269" xr:uid="{00000000-0005-0000-0000-00005B000000}"/>
    <cellStyle name="20% - Ênfase2 16 2" xfId="270" xr:uid="{00000000-0005-0000-0000-00005C000000}"/>
    <cellStyle name="20% - Ênfase2 17" xfId="271" xr:uid="{00000000-0005-0000-0000-00005D000000}"/>
    <cellStyle name="20% - Ênfase2 17 2" xfId="272" xr:uid="{00000000-0005-0000-0000-00005E000000}"/>
    <cellStyle name="20% - Ênfase2 18" xfId="273" xr:uid="{00000000-0005-0000-0000-00005F000000}"/>
    <cellStyle name="20% - Ênfase2 18 2" xfId="274" xr:uid="{00000000-0005-0000-0000-000060000000}"/>
    <cellStyle name="20% - Ênfase2 19" xfId="275" xr:uid="{00000000-0005-0000-0000-000061000000}"/>
    <cellStyle name="20% - Ênfase2 19 2" xfId="276" xr:uid="{00000000-0005-0000-0000-000062000000}"/>
    <cellStyle name="20% - Ênfase2 2" xfId="277" xr:uid="{00000000-0005-0000-0000-000063000000}"/>
    <cellStyle name="20% - Ênfase2 2 2" xfId="278" xr:uid="{00000000-0005-0000-0000-000064000000}"/>
    <cellStyle name="20% - Ênfase2 2 2 2" xfId="279" xr:uid="{00000000-0005-0000-0000-000065000000}"/>
    <cellStyle name="20% - Ênfase2 20" xfId="280" xr:uid="{00000000-0005-0000-0000-000066000000}"/>
    <cellStyle name="20% - Ênfase2 20 2" xfId="281" xr:uid="{00000000-0005-0000-0000-000067000000}"/>
    <cellStyle name="20% - Ênfase2 21" xfId="282" xr:uid="{00000000-0005-0000-0000-000068000000}"/>
    <cellStyle name="20% - Ênfase2 21 2" xfId="283" xr:uid="{00000000-0005-0000-0000-000069000000}"/>
    <cellStyle name="20% - Ênfase2 22" xfId="284" xr:uid="{00000000-0005-0000-0000-00006A000000}"/>
    <cellStyle name="20% - Ênfase2 22 2" xfId="285" xr:uid="{00000000-0005-0000-0000-00006B000000}"/>
    <cellStyle name="20% - Ênfase2 23" xfId="286" xr:uid="{00000000-0005-0000-0000-00006C000000}"/>
    <cellStyle name="20% - Ênfase2 23 2" xfId="287" xr:uid="{00000000-0005-0000-0000-00006D000000}"/>
    <cellStyle name="20% - Ênfase2 24" xfId="288" xr:uid="{00000000-0005-0000-0000-00006E000000}"/>
    <cellStyle name="20% - Ênfase2 24 2" xfId="289" xr:uid="{00000000-0005-0000-0000-00006F000000}"/>
    <cellStyle name="20% - Ênfase2 25" xfId="290" xr:uid="{00000000-0005-0000-0000-000070000000}"/>
    <cellStyle name="20% - Ênfase2 25 2" xfId="291" xr:uid="{00000000-0005-0000-0000-000071000000}"/>
    <cellStyle name="20% - Ênfase2 26" xfId="292" xr:uid="{00000000-0005-0000-0000-000072000000}"/>
    <cellStyle name="20% - Ênfase2 26 2" xfId="293" xr:uid="{00000000-0005-0000-0000-000073000000}"/>
    <cellStyle name="20% - Ênfase2 27" xfId="294" xr:uid="{00000000-0005-0000-0000-000074000000}"/>
    <cellStyle name="20% - Ênfase2 27 2" xfId="295" xr:uid="{00000000-0005-0000-0000-000075000000}"/>
    <cellStyle name="20% - Ênfase2 28" xfId="296" xr:uid="{00000000-0005-0000-0000-000076000000}"/>
    <cellStyle name="20% - Ênfase2 28 2" xfId="297" xr:uid="{00000000-0005-0000-0000-000077000000}"/>
    <cellStyle name="20% - Ênfase2 29" xfId="298" xr:uid="{00000000-0005-0000-0000-000078000000}"/>
    <cellStyle name="20% - Ênfase2 29 2" xfId="299" xr:uid="{00000000-0005-0000-0000-000079000000}"/>
    <cellStyle name="20% - Ênfase2 3" xfId="300" xr:uid="{00000000-0005-0000-0000-00007A000000}"/>
    <cellStyle name="20% - Ênfase2 3 2" xfId="301" xr:uid="{00000000-0005-0000-0000-00007B000000}"/>
    <cellStyle name="20% - Ênfase2 30" xfId="302" xr:uid="{00000000-0005-0000-0000-00007C000000}"/>
    <cellStyle name="20% - Ênfase2 30 2" xfId="303" xr:uid="{00000000-0005-0000-0000-00007D000000}"/>
    <cellStyle name="20% - Ênfase2 31" xfId="304" xr:uid="{00000000-0005-0000-0000-00007E000000}"/>
    <cellStyle name="20% - Ênfase2 31 2" xfId="305" xr:uid="{00000000-0005-0000-0000-00007F000000}"/>
    <cellStyle name="20% - Ênfase2 32" xfId="306" xr:uid="{00000000-0005-0000-0000-000080000000}"/>
    <cellStyle name="20% - Ênfase2 32 2" xfId="307" xr:uid="{00000000-0005-0000-0000-000081000000}"/>
    <cellStyle name="20% - Ênfase2 33" xfId="308" xr:uid="{00000000-0005-0000-0000-000082000000}"/>
    <cellStyle name="20% - Ênfase2 33 2" xfId="309" xr:uid="{00000000-0005-0000-0000-000083000000}"/>
    <cellStyle name="20% - Ênfase2 34" xfId="310" xr:uid="{00000000-0005-0000-0000-000084000000}"/>
    <cellStyle name="20% - Ênfase2 34 2" xfId="311" xr:uid="{00000000-0005-0000-0000-000085000000}"/>
    <cellStyle name="20% - Ênfase2 35" xfId="312" xr:uid="{00000000-0005-0000-0000-000086000000}"/>
    <cellStyle name="20% - Ênfase2 35 2" xfId="313" xr:uid="{00000000-0005-0000-0000-000087000000}"/>
    <cellStyle name="20% - Ênfase2 36" xfId="314" xr:uid="{00000000-0005-0000-0000-000088000000}"/>
    <cellStyle name="20% - Ênfase2 36 2" xfId="315" xr:uid="{00000000-0005-0000-0000-000089000000}"/>
    <cellStyle name="20% - Ênfase2 37" xfId="316" xr:uid="{00000000-0005-0000-0000-00008A000000}"/>
    <cellStyle name="20% - Ênfase2 37 2" xfId="317" xr:uid="{00000000-0005-0000-0000-00008B000000}"/>
    <cellStyle name="20% - Ênfase2 4" xfId="318" xr:uid="{00000000-0005-0000-0000-00008C000000}"/>
    <cellStyle name="20% - Ênfase2 4 2" xfId="319" xr:uid="{00000000-0005-0000-0000-00008D000000}"/>
    <cellStyle name="20% - Ênfase2 5" xfId="320" xr:uid="{00000000-0005-0000-0000-00008E000000}"/>
    <cellStyle name="20% - Ênfase2 5 2" xfId="321" xr:uid="{00000000-0005-0000-0000-00008F000000}"/>
    <cellStyle name="20% - Ênfase2 6" xfId="322" xr:uid="{00000000-0005-0000-0000-000090000000}"/>
    <cellStyle name="20% - Ênfase2 6 2" xfId="323" xr:uid="{00000000-0005-0000-0000-000091000000}"/>
    <cellStyle name="20% - Ênfase2 7" xfId="324" xr:uid="{00000000-0005-0000-0000-000092000000}"/>
    <cellStyle name="20% - Ênfase2 7 2" xfId="325" xr:uid="{00000000-0005-0000-0000-000093000000}"/>
    <cellStyle name="20% - Ênfase2 8" xfId="326" xr:uid="{00000000-0005-0000-0000-000094000000}"/>
    <cellStyle name="20% - Ênfase2 8 2" xfId="327" xr:uid="{00000000-0005-0000-0000-000095000000}"/>
    <cellStyle name="20% - Ênfase2 9" xfId="328" xr:uid="{00000000-0005-0000-0000-000096000000}"/>
    <cellStyle name="20% - Ênfase2 9 2" xfId="329" xr:uid="{00000000-0005-0000-0000-000097000000}"/>
    <cellStyle name="20% - Ênfase3 10" xfId="330" xr:uid="{00000000-0005-0000-0000-000098000000}"/>
    <cellStyle name="20% - Ênfase3 10 2" xfId="331" xr:uid="{00000000-0005-0000-0000-000099000000}"/>
    <cellStyle name="20% - Ênfase3 11" xfId="332" xr:uid="{00000000-0005-0000-0000-00009A000000}"/>
    <cellStyle name="20% - Ênfase3 11 2" xfId="333" xr:uid="{00000000-0005-0000-0000-00009B000000}"/>
    <cellStyle name="20% - Ênfase3 12" xfId="334" xr:uid="{00000000-0005-0000-0000-00009C000000}"/>
    <cellStyle name="20% - Ênfase3 12 2" xfId="335" xr:uid="{00000000-0005-0000-0000-00009D000000}"/>
    <cellStyle name="20% - Ênfase3 13" xfId="336" xr:uid="{00000000-0005-0000-0000-00009E000000}"/>
    <cellStyle name="20% - Ênfase3 13 2" xfId="337" xr:uid="{00000000-0005-0000-0000-00009F000000}"/>
    <cellStyle name="20% - Ênfase3 14" xfId="338" xr:uid="{00000000-0005-0000-0000-0000A0000000}"/>
    <cellStyle name="20% - Ênfase3 14 2" xfId="339" xr:uid="{00000000-0005-0000-0000-0000A1000000}"/>
    <cellStyle name="20% - Ênfase3 15" xfId="340" xr:uid="{00000000-0005-0000-0000-0000A2000000}"/>
    <cellStyle name="20% - Ênfase3 15 2" xfId="341" xr:uid="{00000000-0005-0000-0000-0000A3000000}"/>
    <cellStyle name="20% - Ênfase3 16" xfId="342" xr:uid="{00000000-0005-0000-0000-0000A4000000}"/>
    <cellStyle name="20% - Ênfase3 16 2" xfId="343" xr:uid="{00000000-0005-0000-0000-0000A5000000}"/>
    <cellStyle name="20% - Ênfase3 17" xfId="344" xr:uid="{00000000-0005-0000-0000-0000A6000000}"/>
    <cellStyle name="20% - Ênfase3 17 2" xfId="345" xr:uid="{00000000-0005-0000-0000-0000A7000000}"/>
    <cellStyle name="20% - Ênfase3 18" xfId="346" xr:uid="{00000000-0005-0000-0000-0000A8000000}"/>
    <cellStyle name="20% - Ênfase3 18 2" xfId="347" xr:uid="{00000000-0005-0000-0000-0000A9000000}"/>
    <cellStyle name="20% - Ênfase3 19" xfId="348" xr:uid="{00000000-0005-0000-0000-0000AA000000}"/>
    <cellStyle name="20% - Ênfase3 19 2" xfId="349" xr:uid="{00000000-0005-0000-0000-0000AB000000}"/>
    <cellStyle name="20% - Ênfase3 2" xfId="350" xr:uid="{00000000-0005-0000-0000-0000AC000000}"/>
    <cellStyle name="20% - Ênfase3 2 2" xfId="351" xr:uid="{00000000-0005-0000-0000-0000AD000000}"/>
    <cellStyle name="20% - Ênfase3 2 2 2" xfId="352" xr:uid="{00000000-0005-0000-0000-0000AE000000}"/>
    <cellStyle name="20% - Ênfase3 20" xfId="353" xr:uid="{00000000-0005-0000-0000-0000AF000000}"/>
    <cellStyle name="20% - Ênfase3 20 2" xfId="354" xr:uid="{00000000-0005-0000-0000-0000B0000000}"/>
    <cellStyle name="20% - Ênfase3 21" xfId="355" xr:uid="{00000000-0005-0000-0000-0000B1000000}"/>
    <cellStyle name="20% - Ênfase3 21 2" xfId="356" xr:uid="{00000000-0005-0000-0000-0000B2000000}"/>
    <cellStyle name="20% - Ênfase3 22" xfId="357" xr:uid="{00000000-0005-0000-0000-0000B3000000}"/>
    <cellStyle name="20% - Ênfase3 22 2" xfId="358" xr:uid="{00000000-0005-0000-0000-0000B4000000}"/>
    <cellStyle name="20% - Ênfase3 23" xfId="359" xr:uid="{00000000-0005-0000-0000-0000B5000000}"/>
    <cellStyle name="20% - Ênfase3 23 2" xfId="360" xr:uid="{00000000-0005-0000-0000-0000B6000000}"/>
    <cellStyle name="20% - Ênfase3 24" xfId="361" xr:uid="{00000000-0005-0000-0000-0000B7000000}"/>
    <cellStyle name="20% - Ênfase3 24 2" xfId="362" xr:uid="{00000000-0005-0000-0000-0000B8000000}"/>
    <cellStyle name="20% - Ênfase3 25" xfId="363" xr:uid="{00000000-0005-0000-0000-0000B9000000}"/>
    <cellStyle name="20% - Ênfase3 25 2" xfId="364" xr:uid="{00000000-0005-0000-0000-0000BA000000}"/>
    <cellStyle name="20% - Ênfase3 26" xfId="365" xr:uid="{00000000-0005-0000-0000-0000BB000000}"/>
    <cellStyle name="20% - Ênfase3 26 2" xfId="366" xr:uid="{00000000-0005-0000-0000-0000BC000000}"/>
    <cellStyle name="20% - Ênfase3 27" xfId="367" xr:uid="{00000000-0005-0000-0000-0000BD000000}"/>
    <cellStyle name="20% - Ênfase3 27 2" xfId="368" xr:uid="{00000000-0005-0000-0000-0000BE000000}"/>
    <cellStyle name="20% - Ênfase3 28" xfId="369" xr:uid="{00000000-0005-0000-0000-0000BF000000}"/>
    <cellStyle name="20% - Ênfase3 28 2" xfId="370" xr:uid="{00000000-0005-0000-0000-0000C0000000}"/>
    <cellStyle name="20% - Ênfase3 29" xfId="371" xr:uid="{00000000-0005-0000-0000-0000C1000000}"/>
    <cellStyle name="20% - Ênfase3 29 2" xfId="372" xr:uid="{00000000-0005-0000-0000-0000C2000000}"/>
    <cellStyle name="20% - Ênfase3 3" xfId="373" xr:uid="{00000000-0005-0000-0000-0000C3000000}"/>
    <cellStyle name="20% - Ênfase3 3 2" xfId="374" xr:uid="{00000000-0005-0000-0000-0000C4000000}"/>
    <cellStyle name="20% - Ênfase3 30" xfId="375" xr:uid="{00000000-0005-0000-0000-0000C5000000}"/>
    <cellStyle name="20% - Ênfase3 30 2" xfId="376" xr:uid="{00000000-0005-0000-0000-0000C6000000}"/>
    <cellStyle name="20% - Ênfase3 31" xfId="377" xr:uid="{00000000-0005-0000-0000-0000C7000000}"/>
    <cellStyle name="20% - Ênfase3 31 2" xfId="378" xr:uid="{00000000-0005-0000-0000-0000C8000000}"/>
    <cellStyle name="20% - Ênfase3 32" xfId="379" xr:uid="{00000000-0005-0000-0000-0000C9000000}"/>
    <cellStyle name="20% - Ênfase3 32 2" xfId="380" xr:uid="{00000000-0005-0000-0000-0000CA000000}"/>
    <cellStyle name="20% - Ênfase3 33" xfId="381" xr:uid="{00000000-0005-0000-0000-0000CB000000}"/>
    <cellStyle name="20% - Ênfase3 33 2" xfId="382" xr:uid="{00000000-0005-0000-0000-0000CC000000}"/>
    <cellStyle name="20% - Ênfase3 34" xfId="383" xr:uid="{00000000-0005-0000-0000-0000CD000000}"/>
    <cellStyle name="20% - Ênfase3 34 2" xfId="384" xr:uid="{00000000-0005-0000-0000-0000CE000000}"/>
    <cellStyle name="20% - Ênfase3 35" xfId="385" xr:uid="{00000000-0005-0000-0000-0000CF000000}"/>
    <cellStyle name="20% - Ênfase3 35 2" xfId="386" xr:uid="{00000000-0005-0000-0000-0000D0000000}"/>
    <cellStyle name="20% - Ênfase3 36" xfId="387" xr:uid="{00000000-0005-0000-0000-0000D1000000}"/>
    <cellStyle name="20% - Ênfase3 36 2" xfId="388" xr:uid="{00000000-0005-0000-0000-0000D2000000}"/>
    <cellStyle name="20% - Ênfase3 37" xfId="389" xr:uid="{00000000-0005-0000-0000-0000D3000000}"/>
    <cellStyle name="20% - Ênfase3 37 2" xfId="390" xr:uid="{00000000-0005-0000-0000-0000D4000000}"/>
    <cellStyle name="20% - Ênfase3 4" xfId="391" xr:uid="{00000000-0005-0000-0000-0000D5000000}"/>
    <cellStyle name="20% - Ênfase3 4 2" xfId="392" xr:uid="{00000000-0005-0000-0000-0000D6000000}"/>
    <cellStyle name="20% - Ênfase3 5" xfId="393" xr:uid="{00000000-0005-0000-0000-0000D7000000}"/>
    <cellStyle name="20% - Ênfase3 5 2" xfId="394" xr:uid="{00000000-0005-0000-0000-0000D8000000}"/>
    <cellStyle name="20% - Ênfase3 6" xfId="395" xr:uid="{00000000-0005-0000-0000-0000D9000000}"/>
    <cellStyle name="20% - Ênfase3 6 2" xfId="396" xr:uid="{00000000-0005-0000-0000-0000DA000000}"/>
    <cellStyle name="20% - Ênfase3 7" xfId="397" xr:uid="{00000000-0005-0000-0000-0000DB000000}"/>
    <cellStyle name="20% - Ênfase3 7 2" xfId="398" xr:uid="{00000000-0005-0000-0000-0000DC000000}"/>
    <cellStyle name="20% - Ênfase3 8" xfId="399" xr:uid="{00000000-0005-0000-0000-0000DD000000}"/>
    <cellStyle name="20% - Ênfase3 8 2" xfId="400" xr:uid="{00000000-0005-0000-0000-0000DE000000}"/>
    <cellStyle name="20% - Ênfase3 9" xfId="401" xr:uid="{00000000-0005-0000-0000-0000DF000000}"/>
    <cellStyle name="20% - Ênfase3 9 2" xfId="402" xr:uid="{00000000-0005-0000-0000-0000E0000000}"/>
    <cellStyle name="20% - Ênfase4 10" xfId="403" xr:uid="{00000000-0005-0000-0000-0000E1000000}"/>
    <cellStyle name="20% - Ênfase4 10 2" xfId="404" xr:uid="{00000000-0005-0000-0000-0000E2000000}"/>
    <cellStyle name="20% - Ênfase4 11" xfId="405" xr:uid="{00000000-0005-0000-0000-0000E3000000}"/>
    <cellStyle name="20% - Ênfase4 11 2" xfId="406" xr:uid="{00000000-0005-0000-0000-0000E4000000}"/>
    <cellStyle name="20% - Ênfase4 12" xfId="407" xr:uid="{00000000-0005-0000-0000-0000E5000000}"/>
    <cellStyle name="20% - Ênfase4 12 2" xfId="408" xr:uid="{00000000-0005-0000-0000-0000E6000000}"/>
    <cellStyle name="20% - Ênfase4 13" xfId="409" xr:uid="{00000000-0005-0000-0000-0000E7000000}"/>
    <cellStyle name="20% - Ênfase4 13 2" xfId="410" xr:uid="{00000000-0005-0000-0000-0000E8000000}"/>
    <cellStyle name="20% - Ênfase4 14" xfId="411" xr:uid="{00000000-0005-0000-0000-0000E9000000}"/>
    <cellStyle name="20% - Ênfase4 14 2" xfId="412" xr:uid="{00000000-0005-0000-0000-0000EA000000}"/>
    <cellStyle name="20% - Ênfase4 15" xfId="413" xr:uid="{00000000-0005-0000-0000-0000EB000000}"/>
    <cellStyle name="20% - Ênfase4 15 2" xfId="414" xr:uid="{00000000-0005-0000-0000-0000EC000000}"/>
    <cellStyle name="20% - Ênfase4 16" xfId="415" xr:uid="{00000000-0005-0000-0000-0000ED000000}"/>
    <cellStyle name="20% - Ênfase4 16 2" xfId="416" xr:uid="{00000000-0005-0000-0000-0000EE000000}"/>
    <cellStyle name="20% - Ênfase4 17" xfId="417" xr:uid="{00000000-0005-0000-0000-0000EF000000}"/>
    <cellStyle name="20% - Ênfase4 17 2" xfId="418" xr:uid="{00000000-0005-0000-0000-0000F0000000}"/>
    <cellStyle name="20% - Ênfase4 18" xfId="419" xr:uid="{00000000-0005-0000-0000-0000F1000000}"/>
    <cellStyle name="20% - Ênfase4 18 2" xfId="420" xr:uid="{00000000-0005-0000-0000-0000F2000000}"/>
    <cellStyle name="20% - Ênfase4 19" xfId="421" xr:uid="{00000000-0005-0000-0000-0000F3000000}"/>
    <cellStyle name="20% - Ênfase4 19 2" xfId="422" xr:uid="{00000000-0005-0000-0000-0000F4000000}"/>
    <cellStyle name="20% - Ênfase4 2" xfId="423" xr:uid="{00000000-0005-0000-0000-0000F5000000}"/>
    <cellStyle name="20% - Ênfase4 2 2" xfId="424" xr:uid="{00000000-0005-0000-0000-0000F6000000}"/>
    <cellStyle name="20% - Ênfase4 2 2 2" xfId="425" xr:uid="{00000000-0005-0000-0000-0000F7000000}"/>
    <cellStyle name="20% - Ênfase4 20" xfId="426" xr:uid="{00000000-0005-0000-0000-0000F8000000}"/>
    <cellStyle name="20% - Ênfase4 20 2" xfId="427" xr:uid="{00000000-0005-0000-0000-0000F9000000}"/>
    <cellStyle name="20% - Ênfase4 21" xfId="428" xr:uid="{00000000-0005-0000-0000-0000FA000000}"/>
    <cellStyle name="20% - Ênfase4 21 2" xfId="429" xr:uid="{00000000-0005-0000-0000-0000FB000000}"/>
    <cellStyle name="20% - Ênfase4 22" xfId="430" xr:uid="{00000000-0005-0000-0000-0000FC000000}"/>
    <cellStyle name="20% - Ênfase4 22 2" xfId="431" xr:uid="{00000000-0005-0000-0000-0000FD000000}"/>
    <cellStyle name="20% - Ênfase4 23" xfId="432" xr:uid="{00000000-0005-0000-0000-0000FE000000}"/>
    <cellStyle name="20% - Ênfase4 23 2" xfId="433" xr:uid="{00000000-0005-0000-0000-0000FF000000}"/>
    <cellStyle name="20% - Ênfase4 24" xfId="434" xr:uid="{00000000-0005-0000-0000-000000010000}"/>
    <cellStyle name="20% - Ênfase4 24 2" xfId="435" xr:uid="{00000000-0005-0000-0000-000001010000}"/>
    <cellStyle name="20% - Ênfase4 25" xfId="436" xr:uid="{00000000-0005-0000-0000-000002010000}"/>
    <cellStyle name="20% - Ênfase4 25 2" xfId="437" xr:uid="{00000000-0005-0000-0000-000003010000}"/>
    <cellStyle name="20% - Ênfase4 26" xfId="438" xr:uid="{00000000-0005-0000-0000-000004010000}"/>
    <cellStyle name="20% - Ênfase4 26 2" xfId="439" xr:uid="{00000000-0005-0000-0000-000005010000}"/>
    <cellStyle name="20% - Ênfase4 27" xfId="440" xr:uid="{00000000-0005-0000-0000-000006010000}"/>
    <cellStyle name="20% - Ênfase4 27 2" xfId="441" xr:uid="{00000000-0005-0000-0000-000007010000}"/>
    <cellStyle name="20% - Ênfase4 28" xfId="442" xr:uid="{00000000-0005-0000-0000-000008010000}"/>
    <cellStyle name="20% - Ênfase4 28 2" xfId="443" xr:uid="{00000000-0005-0000-0000-000009010000}"/>
    <cellStyle name="20% - Ênfase4 29" xfId="444" xr:uid="{00000000-0005-0000-0000-00000A010000}"/>
    <cellStyle name="20% - Ênfase4 29 2" xfId="445" xr:uid="{00000000-0005-0000-0000-00000B010000}"/>
    <cellStyle name="20% - Ênfase4 3" xfId="446" xr:uid="{00000000-0005-0000-0000-00000C010000}"/>
    <cellStyle name="20% - Ênfase4 3 2" xfId="447" xr:uid="{00000000-0005-0000-0000-00000D010000}"/>
    <cellStyle name="20% - Ênfase4 30" xfId="448" xr:uid="{00000000-0005-0000-0000-00000E010000}"/>
    <cellStyle name="20% - Ênfase4 30 2" xfId="449" xr:uid="{00000000-0005-0000-0000-00000F010000}"/>
    <cellStyle name="20% - Ênfase4 31" xfId="450" xr:uid="{00000000-0005-0000-0000-000010010000}"/>
    <cellStyle name="20% - Ênfase4 31 2" xfId="451" xr:uid="{00000000-0005-0000-0000-000011010000}"/>
    <cellStyle name="20% - Ênfase4 32" xfId="452" xr:uid="{00000000-0005-0000-0000-000012010000}"/>
    <cellStyle name="20% - Ênfase4 32 2" xfId="453" xr:uid="{00000000-0005-0000-0000-000013010000}"/>
    <cellStyle name="20% - Ênfase4 33" xfId="454" xr:uid="{00000000-0005-0000-0000-000014010000}"/>
    <cellStyle name="20% - Ênfase4 33 2" xfId="455" xr:uid="{00000000-0005-0000-0000-000015010000}"/>
    <cellStyle name="20% - Ênfase4 34" xfId="456" xr:uid="{00000000-0005-0000-0000-000016010000}"/>
    <cellStyle name="20% - Ênfase4 34 2" xfId="457" xr:uid="{00000000-0005-0000-0000-000017010000}"/>
    <cellStyle name="20% - Ênfase4 35" xfId="458" xr:uid="{00000000-0005-0000-0000-000018010000}"/>
    <cellStyle name="20% - Ênfase4 35 2" xfId="459" xr:uid="{00000000-0005-0000-0000-000019010000}"/>
    <cellStyle name="20% - Ênfase4 36" xfId="460" xr:uid="{00000000-0005-0000-0000-00001A010000}"/>
    <cellStyle name="20% - Ênfase4 36 2" xfId="461" xr:uid="{00000000-0005-0000-0000-00001B010000}"/>
    <cellStyle name="20% - Ênfase4 37" xfId="462" xr:uid="{00000000-0005-0000-0000-00001C010000}"/>
    <cellStyle name="20% - Ênfase4 37 2" xfId="463" xr:uid="{00000000-0005-0000-0000-00001D010000}"/>
    <cellStyle name="20% - Ênfase4 4" xfId="464" xr:uid="{00000000-0005-0000-0000-00001E010000}"/>
    <cellStyle name="20% - Ênfase4 4 2" xfId="465" xr:uid="{00000000-0005-0000-0000-00001F010000}"/>
    <cellStyle name="20% - Ênfase4 5" xfId="466" xr:uid="{00000000-0005-0000-0000-000020010000}"/>
    <cellStyle name="20% - Ênfase4 5 2" xfId="467" xr:uid="{00000000-0005-0000-0000-000021010000}"/>
    <cellStyle name="20% - Ênfase4 6" xfId="468" xr:uid="{00000000-0005-0000-0000-000022010000}"/>
    <cellStyle name="20% - Ênfase4 6 2" xfId="469" xr:uid="{00000000-0005-0000-0000-000023010000}"/>
    <cellStyle name="20% - Ênfase4 7" xfId="470" xr:uid="{00000000-0005-0000-0000-000024010000}"/>
    <cellStyle name="20% - Ênfase4 7 2" xfId="471" xr:uid="{00000000-0005-0000-0000-000025010000}"/>
    <cellStyle name="20% - Ênfase4 8" xfId="472" xr:uid="{00000000-0005-0000-0000-000026010000}"/>
    <cellStyle name="20% - Ênfase4 8 2" xfId="473" xr:uid="{00000000-0005-0000-0000-000027010000}"/>
    <cellStyle name="20% - Ênfase4 9" xfId="474" xr:uid="{00000000-0005-0000-0000-000028010000}"/>
    <cellStyle name="20% - Ênfase4 9 2" xfId="475" xr:uid="{00000000-0005-0000-0000-000029010000}"/>
    <cellStyle name="20% - Ênfase5 10" xfId="476" xr:uid="{00000000-0005-0000-0000-00002A010000}"/>
    <cellStyle name="20% - Ênfase5 10 2" xfId="477" xr:uid="{00000000-0005-0000-0000-00002B010000}"/>
    <cellStyle name="20% - Ênfase5 10 2 2" xfId="478" xr:uid="{00000000-0005-0000-0000-00002C010000}"/>
    <cellStyle name="20% - Ênfase5 10 3" xfId="479" xr:uid="{00000000-0005-0000-0000-00002D010000}"/>
    <cellStyle name="20% - Ênfase5 11" xfId="480" xr:uid="{00000000-0005-0000-0000-00002E010000}"/>
    <cellStyle name="20% - Ênfase5 11 2" xfId="481" xr:uid="{00000000-0005-0000-0000-00002F010000}"/>
    <cellStyle name="20% - Ênfase5 11 2 2" xfId="482" xr:uid="{00000000-0005-0000-0000-000030010000}"/>
    <cellStyle name="20% - Ênfase5 11 3" xfId="483" xr:uid="{00000000-0005-0000-0000-000031010000}"/>
    <cellStyle name="20% - Ênfase5 12" xfId="484" xr:uid="{00000000-0005-0000-0000-000032010000}"/>
    <cellStyle name="20% - Ênfase5 12 2" xfId="485" xr:uid="{00000000-0005-0000-0000-000033010000}"/>
    <cellStyle name="20% - Ênfase5 12 2 2" xfId="486" xr:uid="{00000000-0005-0000-0000-000034010000}"/>
    <cellStyle name="20% - Ênfase5 12 3" xfId="487" xr:uid="{00000000-0005-0000-0000-000035010000}"/>
    <cellStyle name="20% - Ênfase5 13" xfId="488" xr:uid="{00000000-0005-0000-0000-000036010000}"/>
    <cellStyle name="20% - Ênfase5 13 2" xfId="489" xr:uid="{00000000-0005-0000-0000-000037010000}"/>
    <cellStyle name="20% - Ênfase5 13 2 2" xfId="490" xr:uid="{00000000-0005-0000-0000-000038010000}"/>
    <cellStyle name="20% - Ênfase5 13 3" xfId="491" xr:uid="{00000000-0005-0000-0000-000039010000}"/>
    <cellStyle name="20% - Ênfase5 14" xfId="492" xr:uid="{00000000-0005-0000-0000-00003A010000}"/>
    <cellStyle name="20% - Ênfase5 14 2" xfId="493" xr:uid="{00000000-0005-0000-0000-00003B010000}"/>
    <cellStyle name="20% - Ênfase5 14 2 2" xfId="494" xr:uid="{00000000-0005-0000-0000-00003C010000}"/>
    <cellStyle name="20% - Ênfase5 14 3" xfId="495" xr:uid="{00000000-0005-0000-0000-00003D010000}"/>
    <cellStyle name="20% - Ênfase5 15" xfId="496" xr:uid="{00000000-0005-0000-0000-00003E010000}"/>
    <cellStyle name="20% - Ênfase5 15 2" xfId="497" xr:uid="{00000000-0005-0000-0000-00003F010000}"/>
    <cellStyle name="20% - Ênfase5 15 2 2" xfId="498" xr:uid="{00000000-0005-0000-0000-000040010000}"/>
    <cellStyle name="20% - Ênfase5 15 3" xfId="499" xr:uid="{00000000-0005-0000-0000-000041010000}"/>
    <cellStyle name="20% - Ênfase5 16" xfId="500" xr:uid="{00000000-0005-0000-0000-000042010000}"/>
    <cellStyle name="20% - Ênfase5 16 2" xfId="501" xr:uid="{00000000-0005-0000-0000-000043010000}"/>
    <cellStyle name="20% - Ênfase5 16 2 2" xfId="502" xr:uid="{00000000-0005-0000-0000-000044010000}"/>
    <cellStyle name="20% - Ênfase5 16 3" xfId="503" xr:uid="{00000000-0005-0000-0000-000045010000}"/>
    <cellStyle name="20% - Ênfase5 17" xfId="504" xr:uid="{00000000-0005-0000-0000-000046010000}"/>
    <cellStyle name="20% - Ênfase5 17 2" xfId="505" xr:uid="{00000000-0005-0000-0000-000047010000}"/>
    <cellStyle name="20% - Ênfase5 17 2 2" xfId="506" xr:uid="{00000000-0005-0000-0000-000048010000}"/>
    <cellStyle name="20% - Ênfase5 17 3" xfId="507" xr:uid="{00000000-0005-0000-0000-000049010000}"/>
    <cellStyle name="20% - Ênfase5 18" xfId="508" xr:uid="{00000000-0005-0000-0000-00004A010000}"/>
    <cellStyle name="20% - Ênfase5 18 2" xfId="509" xr:uid="{00000000-0005-0000-0000-00004B010000}"/>
    <cellStyle name="20% - Ênfase5 18 2 2" xfId="510" xr:uid="{00000000-0005-0000-0000-00004C010000}"/>
    <cellStyle name="20% - Ênfase5 18 3" xfId="511" xr:uid="{00000000-0005-0000-0000-00004D010000}"/>
    <cellStyle name="20% - Ênfase5 19" xfId="512" xr:uid="{00000000-0005-0000-0000-00004E010000}"/>
    <cellStyle name="20% - Ênfase5 19 2" xfId="513" xr:uid="{00000000-0005-0000-0000-00004F010000}"/>
    <cellStyle name="20% - Ênfase5 19 2 2" xfId="514" xr:uid="{00000000-0005-0000-0000-000050010000}"/>
    <cellStyle name="20% - Ênfase5 19 3" xfId="515" xr:uid="{00000000-0005-0000-0000-000051010000}"/>
    <cellStyle name="20% - Ênfase5 2" xfId="516" xr:uid="{00000000-0005-0000-0000-000052010000}"/>
    <cellStyle name="20% - Ênfase5 2 2" xfId="517" xr:uid="{00000000-0005-0000-0000-000053010000}"/>
    <cellStyle name="20% - Ênfase5 2 2 2" xfId="518" xr:uid="{00000000-0005-0000-0000-000054010000}"/>
    <cellStyle name="20% - Ênfase5 2 2 2 2" xfId="519" xr:uid="{00000000-0005-0000-0000-000055010000}"/>
    <cellStyle name="20% - Ênfase5 2 3" xfId="520" xr:uid="{00000000-0005-0000-0000-000056010000}"/>
    <cellStyle name="20% - Ênfase5 20" xfId="521" xr:uid="{00000000-0005-0000-0000-000057010000}"/>
    <cellStyle name="20% - Ênfase5 20 2" xfId="522" xr:uid="{00000000-0005-0000-0000-000058010000}"/>
    <cellStyle name="20% - Ênfase5 20 2 2" xfId="523" xr:uid="{00000000-0005-0000-0000-000059010000}"/>
    <cellStyle name="20% - Ênfase5 20 3" xfId="524" xr:uid="{00000000-0005-0000-0000-00005A010000}"/>
    <cellStyle name="20% - Ênfase5 21" xfId="525" xr:uid="{00000000-0005-0000-0000-00005B010000}"/>
    <cellStyle name="20% - Ênfase5 21 2" xfId="526" xr:uid="{00000000-0005-0000-0000-00005C010000}"/>
    <cellStyle name="20% - Ênfase5 21 2 2" xfId="527" xr:uid="{00000000-0005-0000-0000-00005D010000}"/>
    <cellStyle name="20% - Ênfase5 21 3" xfId="528" xr:uid="{00000000-0005-0000-0000-00005E010000}"/>
    <cellStyle name="20% - Ênfase5 22" xfId="529" xr:uid="{00000000-0005-0000-0000-00005F010000}"/>
    <cellStyle name="20% - Ênfase5 22 2" xfId="530" xr:uid="{00000000-0005-0000-0000-000060010000}"/>
    <cellStyle name="20% - Ênfase5 22 2 2" xfId="531" xr:uid="{00000000-0005-0000-0000-000061010000}"/>
    <cellStyle name="20% - Ênfase5 22 3" xfId="532" xr:uid="{00000000-0005-0000-0000-000062010000}"/>
    <cellStyle name="20% - Ênfase5 23" xfId="533" xr:uid="{00000000-0005-0000-0000-000063010000}"/>
    <cellStyle name="20% - Ênfase5 23 2" xfId="534" xr:uid="{00000000-0005-0000-0000-000064010000}"/>
    <cellStyle name="20% - Ênfase5 23 2 2" xfId="535" xr:uid="{00000000-0005-0000-0000-000065010000}"/>
    <cellStyle name="20% - Ênfase5 23 3" xfId="536" xr:uid="{00000000-0005-0000-0000-000066010000}"/>
    <cellStyle name="20% - Ênfase5 24" xfId="537" xr:uid="{00000000-0005-0000-0000-000067010000}"/>
    <cellStyle name="20% - Ênfase5 24 2" xfId="538" xr:uid="{00000000-0005-0000-0000-000068010000}"/>
    <cellStyle name="20% - Ênfase5 24 2 2" xfId="539" xr:uid="{00000000-0005-0000-0000-000069010000}"/>
    <cellStyle name="20% - Ênfase5 24 3" xfId="540" xr:uid="{00000000-0005-0000-0000-00006A010000}"/>
    <cellStyle name="20% - Ênfase5 25" xfId="541" xr:uid="{00000000-0005-0000-0000-00006B010000}"/>
    <cellStyle name="20% - Ênfase5 25 2" xfId="542" xr:uid="{00000000-0005-0000-0000-00006C010000}"/>
    <cellStyle name="20% - Ênfase5 25 2 2" xfId="543" xr:uid="{00000000-0005-0000-0000-00006D010000}"/>
    <cellStyle name="20% - Ênfase5 25 3" xfId="544" xr:uid="{00000000-0005-0000-0000-00006E010000}"/>
    <cellStyle name="20% - Ênfase5 26" xfId="545" xr:uid="{00000000-0005-0000-0000-00006F010000}"/>
    <cellStyle name="20% - Ênfase5 26 2" xfId="546" xr:uid="{00000000-0005-0000-0000-000070010000}"/>
    <cellStyle name="20% - Ênfase5 26 2 2" xfId="547" xr:uid="{00000000-0005-0000-0000-000071010000}"/>
    <cellStyle name="20% - Ênfase5 26 3" xfId="548" xr:uid="{00000000-0005-0000-0000-000072010000}"/>
    <cellStyle name="20% - Ênfase5 27" xfId="549" xr:uid="{00000000-0005-0000-0000-000073010000}"/>
    <cellStyle name="20% - Ênfase5 27 2" xfId="550" xr:uid="{00000000-0005-0000-0000-000074010000}"/>
    <cellStyle name="20% - Ênfase5 27 2 2" xfId="551" xr:uid="{00000000-0005-0000-0000-000075010000}"/>
    <cellStyle name="20% - Ênfase5 27 3" xfId="552" xr:uid="{00000000-0005-0000-0000-000076010000}"/>
    <cellStyle name="20% - Ênfase5 28" xfId="553" xr:uid="{00000000-0005-0000-0000-000077010000}"/>
    <cellStyle name="20% - Ênfase5 28 2" xfId="554" xr:uid="{00000000-0005-0000-0000-000078010000}"/>
    <cellStyle name="20% - Ênfase5 28 2 2" xfId="555" xr:uid="{00000000-0005-0000-0000-000079010000}"/>
    <cellStyle name="20% - Ênfase5 28 3" xfId="556" xr:uid="{00000000-0005-0000-0000-00007A010000}"/>
    <cellStyle name="20% - Ênfase5 29" xfId="557" xr:uid="{00000000-0005-0000-0000-00007B010000}"/>
    <cellStyle name="20% - Ênfase5 29 2" xfId="558" xr:uid="{00000000-0005-0000-0000-00007C010000}"/>
    <cellStyle name="20% - Ênfase5 29 2 2" xfId="559" xr:uid="{00000000-0005-0000-0000-00007D010000}"/>
    <cellStyle name="20% - Ênfase5 29 3" xfId="560" xr:uid="{00000000-0005-0000-0000-00007E010000}"/>
    <cellStyle name="20% - Ênfase5 3" xfId="561" xr:uid="{00000000-0005-0000-0000-00007F010000}"/>
    <cellStyle name="20% - Ênfase5 3 2" xfId="562" xr:uid="{00000000-0005-0000-0000-000080010000}"/>
    <cellStyle name="20% - Ênfase5 3 2 2" xfId="563" xr:uid="{00000000-0005-0000-0000-000081010000}"/>
    <cellStyle name="20% - Ênfase5 3 3" xfId="564" xr:uid="{00000000-0005-0000-0000-000082010000}"/>
    <cellStyle name="20% - Ênfase5 30" xfId="565" xr:uid="{00000000-0005-0000-0000-000083010000}"/>
    <cellStyle name="20% - Ênfase5 30 2" xfId="566" xr:uid="{00000000-0005-0000-0000-000084010000}"/>
    <cellStyle name="20% - Ênfase5 30 2 2" xfId="567" xr:uid="{00000000-0005-0000-0000-000085010000}"/>
    <cellStyle name="20% - Ênfase5 30 3" xfId="568" xr:uid="{00000000-0005-0000-0000-000086010000}"/>
    <cellStyle name="20% - Ênfase5 31" xfId="569" xr:uid="{00000000-0005-0000-0000-000087010000}"/>
    <cellStyle name="20% - Ênfase5 31 2" xfId="570" xr:uid="{00000000-0005-0000-0000-000088010000}"/>
    <cellStyle name="20% - Ênfase5 31 2 2" xfId="571" xr:uid="{00000000-0005-0000-0000-000089010000}"/>
    <cellStyle name="20% - Ênfase5 31 3" xfId="572" xr:uid="{00000000-0005-0000-0000-00008A010000}"/>
    <cellStyle name="20% - Ênfase5 32" xfId="573" xr:uid="{00000000-0005-0000-0000-00008B010000}"/>
    <cellStyle name="20% - Ênfase5 32 2" xfId="574" xr:uid="{00000000-0005-0000-0000-00008C010000}"/>
    <cellStyle name="20% - Ênfase5 32 2 2" xfId="575" xr:uid="{00000000-0005-0000-0000-00008D010000}"/>
    <cellStyle name="20% - Ênfase5 32 3" xfId="576" xr:uid="{00000000-0005-0000-0000-00008E010000}"/>
    <cellStyle name="20% - Ênfase5 33" xfId="577" xr:uid="{00000000-0005-0000-0000-00008F010000}"/>
    <cellStyle name="20% - Ênfase5 33 2" xfId="578" xr:uid="{00000000-0005-0000-0000-000090010000}"/>
    <cellStyle name="20% - Ênfase5 33 2 2" xfId="579" xr:uid="{00000000-0005-0000-0000-000091010000}"/>
    <cellStyle name="20% - Ênfase5 33 3" xfId="580" xr:uid="{00000000-0005-0000-0000-000092010000}"/>
    <cellStyle name="20% - Ênfase5 34" xfId="581" xr:uid="{00000000-0005-0000-0000-000093010000}"/>
    <cellStyle name="20% - Ênfase5 34 2" xfId="582" xr:uid="{00000000-0005-0000-0000-000094010000}"/>
    <cellStyle name="20% - Ênfase5 34 2 2" xfId="583" xr:uid="{00000000-0005-0000-0000-000095010000}"/>
    <cellStyle name="20% - Ênfase5 34 3" xfId="584" xr:uid="{00000000-0005-0000-0000-000096010000}"/>
    <cellStyle name="20% - Ênfase5 35" xfId="585" xr:uid="{00000000-0005-0000-0000-000097010000}"/>
    <cellStyle name="20% - Ênfase5 35 2" xfId="586" xr:uid="{00000000-0005-0000-0000-000098010000}"/>
    <cellStyle name="20% - Ênfase5 35 2 2" xfId="587" xr:uid="{00000000-0005-0000-0000-000099010000}"/>
    <cellStyle name="20% - Ênfase5 35 3" xfId="588" xr:uid="{00000000-0005-0000-0000-00009A010000}"/>
    <cellStyle name="20% - Ênfase5 36" xfId="589" xr:uid="{00000000-0005-0000-0000-00009B010000}"/>
    <cellStyle name="20% - Ênfase5 36 2" xfId="590" xr:uid="{00000000-0005-0000-0000-00009C010000}"/>
    <cellStyle name="20% - Ênfase5 36 2 2" xfId="591" xr:uid="{00000000-0005-0000-0000-00009D010000}"/>
    <cellStyle name="20% - Ênfase5 36 3" xfId="592" xr:uid="{00000000-0005-0000-0000-00009E010000}"/>
    <cellStyle name="20% - Ênfase5 37" xfId="593" xr:uid="{00000000-0005-0000-0000-00009F010000}"/>
    <cellStyle name="20% - Ênfase5 37 2" xfId="594" xr:uid="{00000000-0005-0000-0000-0000A0010000}"/>
    <cellStyle name="20% - Ênfase5 37 2 2" xfId="595" xr:uid="{00000000-0005-0000-0000-0000A1010000}"/>
    <cellStyle name="20% - Ênfase5 37 3" xfId="596" xr:uid="{00000000-0005-0000-0000-0000A2010000}"/>
    <cellStyle name="20% - Ênfase5 4" xfId="597" xr:uid="{00000000-0005-0000-0000-0000A3010000}"/>
    <cellStyle name="20% - Ênfase5 4 2" xfId="598" xr:uid="{00000000-0005-0000-0000-0000A4010000}"/>
    <cellStyle name="20% - Ênfase5 4 2 2" xfId="599" xr:uid="{00000000-0005-0000-0000-0000A5010000}"/>
    <cellStyle name="20% - Ênfase5 4 3" xfId="600" xr:uid="{00000000-0005-0000-0000-0000A6010000}"/>
    <cellStyle name="20% - Ênfase5 5" xfId="601" xr:uid="{00000000-0005-0000-0000-0000A7010000}"/>
    <cellStyle name="20% - Ênfase5 5 2" xfId="602" xr:uid="{00000000-0005-0000-0000-0000A8010000}"/>
    <cellStyle name="20% - Ênfase5 5 2 2" xfId="603" xr:uid="{00000000-0005-0000-0000-0000A9010000}"/>
    <cellStyle name="20% - Ênfase5 5 3" xfId="604" xr:uid="{00000000-0005-0000-0000-0000AA010000}"/>
    <cellStyle name="20% - Ênfase5 6" xfId="605" xr:uid="{00000000-0005-0000-0000-0000AB010000}"/>
    <cellStyle name="20% - Ênfase5 6 2" xfId="606" xr:uid="{00000000-0005-0000-0000-0000AC010000}"/>
    <cellStyle name="20% - Ênfase5 6 2 2" xfId="607" xr:uid="{00000000-0005-0000-0000-0000AD010000}"/>
    <cellStyle name="20% - Ênfase5 6 3" xfId="608" xr:uid="{00000000-0005-0000-0000-0000AE010000}"/>
    <cellStyle name="20% - Ênfase5 7" xfId="609" xr:uid="{00000000-0005-0000-0000-0000AF010000}"/>
    <cellStyle name="20% - Ênfase5 7 2" xfId="610" xr:uid="{00000000-0005-0000-0000-0000B0010000}"/>
    <cellStyle name="20% - Ênfase5 7 2 2" xfId="611" xr:uid="{00000000-0005-0000-0000-0000B1010000}"/>
    <cellStyle name="20% - Ênfase5 7 3" xfId="612" xr:uid="{00000000-0005-0000-0000-0000B2010000}"/>
    <cellStyle name="20% - Ênfase5 8" xfId="613" xr:uid="{00000000-0005-0000-0000-0000B3010000}"/>
    <cellStyle name="20% - Ênfase5 8 2" xfId="614" xr:uid="{00000000-0005-0000-0000-0000B4010000}"/>
    <cellStyle name="20% - Ênfase5 8 2 2" xfId="615" xr:uid="{00000000-0005-0000-0000-0000B5010000}"/>
    <cellStyle name="20% - Ênfase5 8 3" xfId="616" xr:uid="{00000000-0005-0000-0000-0000B6010000}"/>
    <cellStyle name="20% - Ênfase5 9" xfId="617" xr:uid="{00000000-0005-0000-0000-0000B7010000}"/>
    <cellStyle name="20% - Ênfase5 9 2" xfId="618" xr:uid="{00000000-0005-0000-0000-0000B8010000}"/>
    <cellStyle name="20% - Ênfase5 9 2 2" xfId="619" xr:uid="{00000000-0005-0000-0000-0000B9010000}"/>
    <cellStyle name="20% - Ênfase5 9 3" xfId="620" xr:uid="{00000000-0005-0000-0000-0000BA010000}"/>
    <cellStyle name="20% - Ênfase6 10" xfId="621" xr:uid="{00000000-0005-0000-0000-0000BB010000}"/>
    <cellStyle name="20% - Ênfase6 10 2" xfId="622" xr:uid="{00000000-0005-0000-0000-0000BC010000}"/>
    <cellStyle name="20% - Ênfase6 10 2 2" xfId="623" xr:uid="{00000000-0005-0000-0000-0000BD010000}"/>
    <cellStyle name="20% - Ênfase6 10 3" xfId="624" xr:uid="{00000000-0005-0000-0000-0000BE010000}"/>
    <cellStyle name="20% - Ênfase6 11" xfId="625" xr:uid="{00000000-0005-0000-0000-0000BF010000}"/>
    <cellStyle name="20% - Ênfase6 11 2" xfId="626" xr:uid="{00000000-0005-0000-0000-0000C0010000}"/>
    <cellStyle name="20% - Ênfase6 11 2 2" xfId="627" xr:uid="{00000000-0005-0000-0000-0000C1010000}"/>
    <cellStyle name="20% - Ênfase6 11 3" xfId="628" xr:uid="{00000000-0005-0000-0000-0000C2010000}"/>
    <cellStyle name="20% - Ênfase6 12" xfId="629" xr:uid="{00000000-0005-0000-0000-0000C3010000}"/>
    <cellStyle name="20% - Ênfase6 12 2" xfId="630" xr:uid="{00000000-0005-0000-0000-0000C4010000}"/>
    <cellStyle name="20% - Ênfase6 12 2 2" xfId="631" xr:uid="{00000000-0005-0000-0000-0000C5010000}"/>
    <cellStyle name="20% - Ênfase6 12 3" xfId="632" xr:uid="{00000000-0005-0000-0000-0000C6010000}"/>
    <cellStyle name="20% - Ênfase6 13" xfId="633" xr:uid="{00000000-0005-0000-0000-0000C7010000}"/>
    <cellStyle name="20% - Ênfase6 13 2" xfId="634" xr:uid="{00000000-0005-0000-0000-0000C8010000}"/>
    <cellStyle name="20% - Ênfase6 13 2 2" xfId="635" xr:uid="{00000000-0005-0000-0000-0000C9010000}"/>
    <cellStyle name="20% - Ênfase6 13 3" xfId="636" xr:uid="{00000000-0005-0000-0000-0000CA010000}"/>
    <cellStyle name="20% - Ênfase6 14" xfId="637" xr:uid="{00000000-0005-0000-0000-0000CB010000}"/>
    <cellStyle name="20% - Ênfase6 14 2" xfId="638" xr:uid="{00000000-0005-0000-0000-0000CC010000}"/>
    <cellStyle name="20% - Ênfase6 14 2 2" xfId="639" xr:uid="{00000000-0005-0000-0000-0000CD010000}"/>
    <cellStyle name="20% - Ênfase6 14 3" xfId="640" xr:uid="{00000000-0005-0000-0000-0000CE010000}"/>
    <cellStyle name="20% - Ênfase6 15" xfId="641" xr:uid="{00000000-0005-0000-0000-0000CF010000}"/>
    <cellStyle name="20% - Ênfase6 15 2" xfId="642" xr:uid="{00000000-0005-0000-0000-0000D0010000}"/>
    <cellStyle name="20% - Ênfase6 15 2 2" xfId="643" xr:uid="{00000000-0005-0000-0000-0000D1010000}"/>
    <cellStyle name="20% - Ênfase6 15 3" xfId="644" xr:uid="{00000000-0005-0000-0000-0000D2010000}"/>
    <cellStyle name="20% - Ênfase6 16" xfId="645" xr:uid="{00000000-0005-0000-0000-0000D3010000}"/>
    <cellStyle name="20% - Ênfase6 16 2" xfId="646" xr:uid="{00000000-0005-0000-0000-0000D4010000}"/>
    <cellStyle name="20% - Ênfase6 16 2 2" xfId="647" xr:uid="{00000000-0005-0000-0000-0000D5010000}"/>
    <cellStyle name="20% - Ênfase6 16 3" xfId="648" xr:uid="{00000000-0005-0000-0000-0000D6010000}"/>
    <cellStyle name="20% - Ênfase6 17" xfId="649" xr:uid="{00000000-0005-0000-0000-0000D7010000}"/>
    <cellStyle name="20% - Ênfase6 17 2" xfId="650" xr:uid="{00000000-0005-0000-0000-0000D8010000}"/>
    <cellStyle name="20% - Ênfase6 17 2 2" xfId="651" xr:uid="{00000000-0005-0000-0000-0000D9010000}"/>
    <cellStyle name="20% - Ênfase6 17 3" xfId="652" xr:uid="{00000000-0005-0000-0000-0000DA010000}"/>
    <cellStyle name="20% - Ênfase6 18" xfId="653" xr:uid="{00000000-0005-0000-0000-0000DB010000}"/>
    <cellStyle name="20% - Ênfase6 18 2" xfId="654" xr:uid="{00000000-0005-0000-0000-0000DC010000}"/>
    <cellStyle name="20% - Ênfase6 18 2 2" xfId="655" xr:uid="{00000000-0005-0000-0000-0000DD010000}"/>
    <cellStyle name="20% - Ênfase6 18 3" xfId="656" xr:uid="{00000000-0005-0000-0000-0000DE010000}"/>
    <cellStyle name="20% - Ênfase6 19" xfId="657" xr:uid="{00000000-0005-0000-0000-0000DF010000}"/>
    <cellStyle name="20% - Ênfase6 19 2" xfId="658" xr:uid="{00000000-0005-0000-0000-0000E0010000}"/>
    <cellStyle name="20% - Ênfase6 19 2 2" xfId="659" xr:uid="{00000000-0005-0000-0000-0000E1010000}"/>
    <cellStyle name="20% - Ênfase6 19 3" xfId="660" xr:uid="{00000000-0005-0000-0000-0000E2010000}"/>
    <cellStyle name="20% - Ênfase6 2" xfId="661" xr:uid="{00000000-0005-0000-0000-0000E3010000}"/>
    <cellStyle name="20% - Ênfase6 2 2" xfId="662" xr:uid="{00000000-0005-0000-0000-0000E4010000}"/>
    <cellStyle name="20% - Ênfase6 2 2 2" xfId="663" xr:uid="{00000000-0005-0000-0000-0000E5010000}"/>
    <cellStyle name="20% - Ênfase6 2 2 2 2" xfId="664" xr:uid="{00000000-0005-0000-0000-0000E6010000}"/>
    <cellStyle name="20% - Ênfase6 2 3" xfId="665" xr:uid="{00000000-0005-0000-0000-0000E7010000}"/>
    <cellStyle name="20% - Ênfase6 20" xfId="666" xr:uid="{00000000-0005-0000-0000-0000E8010000}"/>
    <cellStyle name="20% - Ênfase6 20 2" xfId="667" xr:uid="{00000000-0005-0000-0000-0000E9010000}"/>
    <cellStyle name="20% - Ênfase6 20 2 2" xfId="668" xr:uid="{00000000-0005-0000-0000-0000EA010000}"/>
    <cellStyle name="20% - Ênfase6 20 3" xfId="669" xr:uid="{00000000-0005-0000-0000-0000EB010000}"/>
    <cellStyle name="20% - Ênfase6 21" xfId="670" xr:uid="{00000000-0005-0000-0000-0000EC010000}"/>
    <cellStyle name="20% - Ênfase6 21 2" xfId="671" xr:uid="{00000000-0005-0000-0000-0000ED010000}"/>
    <cellStyle name="20% - Ênfase6 21 2 2" xfId="672" xr:uid="{00000000-0005-0000-0000-0000EE010000}"/>
    <cellStyle name="20% - Ênfase6 21 3" xfId="673" xr:uid="{00000000-0005-0000-0000-0000EF010000}"/>
    <cellStyle name="20% - Ênfase6 22" xfId="674" xr:uid="{00000000-0005-0000-0000-0000F0010000}"/>
    <cellStyle name="20% - Ênfase6 22 2" xfId="675" xr:uid="{00000000-0005-0000-0000-0000F1010000}"/>
    <cellStyle name="20% - Ênfase6 22 2 2" xfId="676" xr:uid="{00000000-0005-0000-0000-0000F2010000}"/>
    <cellStyle name="20% - Ênfase6 22 3" xfId="677" xr:uid="{00000000-0005-0000-0000-0000F3010000}"/>
    <cellStyle name="20% - Ênfase6 23" xfId="678" xr:uid="{00000000-0005-0000-0000-0000F4010000}"/>
    <cellStyle name="20% - Ênfase6 23 2" xfId="679" xr:uid="{00000000-0005-0000-0000-0000F5010000}"/>
    <cellStyle name="20% - Ênfase6 23 2 2" xfId="680" xr:uid="{00000000-0005-0000-0000-0000F6010000}"/>
    <cellStyle name="20% - Ênfase6 23 3" xfId="681" xr:uid="{00000000-0005-0000-0000-0000F7010000}"/>
    <cellStyle name="20% - Ênfase6 24" xfId="682" xr:uid="{00000000-0005-0000-0000-0000F8010000}"/>
    <cellStyle name="20% - Ênfase6 24 2" xfId="683" xr:uid="{00000000-0005-0000-0000-0000F9010000}"/>
    <cellStyle name="20% - Ênfase6 24 2 2" xfId="684" xr:uid="{00000000-0005-0000-0000-0000FA010000}"/>
    <cellStyle name="20% - Ênfase6 24 3" xfId="685" xr:uid="{00000000-0005-0000-0000-0000FB010000}"/>
    <cellStyle name="20% - Ênfase6 25" xfId="686" xr:uid="{00000000-0005-0000-0000-0000FC010000}"/>
    <cellStyle name="20% - Ênfase6 25 2" xfId="687" xr:uid="{00000000-0005-0000-0000-0000FD010000}"/>
    <cellStyle name="20% - Ênfase6 25 2 2" xfId="688" xr:uid="{00000000-0005-0000-0000-0000FE010000}"/>
    <cellStyle name="20% - Ênfase6 25 3" xfId="689" xr:uid="{00000000-0005-0000-0000-0000FF010000}"/>
    <cellStyle name="20% - Ênfase6 26" xfId="690" xr:uid="{00000000-0005-0000-0000-000000020000}"/>
    <cellStyle name="20% - Ênfase6 26 2" xfId="691" xr:uid="{00000000-0005-0000-0000-000001020000}"/>
    <cellStyle name="20% - Ênfase6 26 2 2" xfId="692" xr:uid="{00000000-0005-0000-0000-000002020000}"/>
    <cellStyle name="20% - Ênfase6 26 3" xfId="693" xr:uid="{00000000-0005-0000-0000-000003020000}"/>
    <cellStyle name="20% - Ênfase6 27" xfId="694" xr:uid="{00000000-0005-0000-0000-000004020000}"/>
    <cellStyle name="20% - Ênfase6 27 2" xfId="695" xr:uid="{00000000-0005-0000-0000-000005020000}"/>
    <cellStyle name="20% - Ênfase6 27 2 2" xfId="696" xr:uid="{00000000-0005-0000-0000-000006020000}"/>
    <cellStyle name="20% - Ênfase6 27 3" xfId="697" xr:uid="{00000000-0005-0000-0000-000007020000}"/>
    <cellStyle name="20% - Ênfase6 28" xfId="698" xr:uid="{00000000-0005-0000-0000-000008020000}"/>
    <cellStyle name="20% - Ênfase6 28 2" xfId="699" xr:uid="{00000000-0005-0000-0000-000009020000}"/>
    <cellStyle name="20% - Ênfase6 28 2 2" xfId="700" xr:uid="{00000000-0005-0000-0000-00000A020000}"/>
    <cellStyle name="20% - Ênfase6 28 3" xfId="701" xr:uid="{00000000-0005-0000-0000-00000B020000}"/>
    <cellStyle name="20% - Ênfase6 29" xfId="702" xr:uid="{00000000-0005-0000-0000-00000C020000}"/>
    <cellStyle name="20% - Ênfase6 29 2" xfId="703" xr:uid="{00000000-0005-0000-0000-00000D020000}"/>
    <cellStyle name="20% - Ênfase6 29 2 2" xfId="704" xr:uid="{00000000-0005-0000-0000-00000E020000}"/>
    <cellStyle name="20% - Ênfase6 29 3" xfId="705" xr:uid="{00000000-0005-0000-0000-00000F020000}"/>
    <cellStyle name="20% - Ênfase6 3" xfId="706" xr:uid="{00000000-0005-0000-0000-000010020000}"/>
    <cellStyle name="20% - Ênfase6 3 2" xfId="707" xr:uid="{00000000-0005-0000-0000-000011020000}"/>
    <cellStyle name="20% - Ênfase6 3 2 2" xfId="708" xr:uid="{00000000-0005-0000-0000-000012020000}"/>
    <cellStyle name="20% - Ênfase6 3 3" xfId="709" xr:uid="{00000000-0005-0000-0000-000013020000}"/>
    <cellStyle name="20% - Ênfase6 30" xfId="710" xr:uid="{00000000-0005-0000-0000-000014020000}"/>
    <cellStyle name="20% - Ênfase6 30 2" xfId="711" xr:uid="{00000000-0005-0000-0000-000015020000}"/>
    <cellStyle name="20% - Ênfase6 30 2 2" xfId="712" xr:uid="{00000000-0005-0000-0000-000016020000}"/>
    <cellStyle name="20% - Ênfase6 30 3" xfId="713" xr:uid="{00000000-0005-0000-0000-000017020000}"/>
    <cellStyle name="20% - Ênfase6 31" xfId="714" xr:uid="{00000000-0005-0000-0000-000018020000}"/>
    <cellStyle name="20% - Ênfase6 31 2" xfId="715" xr:uid="{00000000-0005-0000-0000-000019020000}"/>
    <cellStyle name="20% - Ênfase6 31 2 2" xfId="716" xr:uid="{00000000-0005-0000-0000-00001A020000}"/>
    <cellStyle name="20% - Ênfase6 31 3" xfId="717" xr:uid="{00000000-0005-0000-0000-00001B020000}"/>
    <cellStyle name="20% - Ênfase6 32" xfId="718" xr:uid="{00000000-0005-0000-0000-00001C020000}"/>
    <cellStyle name="20% - Ênfase6 32 2" xfId="719" xr:uid="{00000000-0005-0000-0000-00001D020000}"/>
    <cellStyle name="20% - Ênfase6 32 2 2" xfId="720" xr:uid="{00000000-0005-0000-0000-00001E020000}"/>
    <cellStyle name="20% - Ênfase6 32 3" xfId="721" xr:uid="{00000000-0005-0000-0000-00001F020000}"/>
    <cellStyle name="20% - Ênfase6 33" xfId="722" xr:uid="{00000000-0005-0000-0000-000020020000}"/>
    <cellStyle name="20% - Ênfase6 33 2" xfId="723" xr:uid="{00000000-0005-0000-0000-000021020000}"/>
    <cellStyle name="20% - Ênfase6 33 2 2" xfId="724" xr:uid="{00000000-0005-0000-0000-000022020000}"/>
    <cellStyle name="20% - Ênfase6 33 3" xfId="725" xr:uid="{00000000-0005-0000-0000-000023020000}"/>
    <cellStyle name="20% - Ênfase6 34" xfId="726" xr:uid="{00000000-0005-0000-0000-000024020000}"/>
    <cellStyle name="20% - Ênfase6 34 2" xfId="727" xr:uid="{00000000-0005-0000-0000-000025020000}"/>
    <cellStyle name="20% - Ênfase6 34 2 2" xfId="728" xr:uid="{00000000-0005-0000-0000-000026020000}"/>
    <cellStyle name="20% - Ênfase6 34 3" xfId="729" xr:uid="{00000000-0005-0000-0000-000027020000}"/>
    <cellStyle name="20% - Ênfase6 35" xfId="730" xr:uid="{00000000-0005-0000-0000-000028020000}"/>
    <cellStyle name="20% - Ênfase6 35 2" xfId="731" xr:uid="{00000000-0005-0000-0000-000029020000}"/>
    <cellStyle name="20% - Ênfase6 35 2 2" xfId="732" xr:uid="{00000000-0005-0000-0000-00002A020000}"/>
    <cellStyle name="20% - Ênfase6 35 3" xfId="733" xr:uid="{00000000-0005-0000-0000-00002B020000}"/>
    <cellStyle name="20% - Ênfase6 36" xfId="734" xr:uid="{00000000-0005-0000-0000-00002C020000}"/>
    <cellStyle name="20% - Ênfase6 36 2" xfId="735" xr:uid="{00000000-0005-0000-0000-00002D020000}"/>
    <cellStyle name="20% - Ênfase6 36 2 2" xfId="736" xr:uid="{00000000-0005-0000-0000-00002E020000}"/>
    <cellStyle name="20% - Ênfase6 36 3" xfId="737" xr:uid="{00000000-0005-0000-0000-00002F020000}"/>
    <cellStyle name="20% - Ênfase6 37" xfId="738" xr:uid="{00000000-0005-0000-0000-000030020000}"/>
    <cellStyle name="20% - Ênfase6 37 2" xfId="739" xr:uid="{00000000-0005-0000-0000-000031020000}"/>
    <cellStyle name="20% - Ênfase6 37 2 2" xfId="740" xr:uid="{00000000-0005-0000-0000-000032020000}"/>
    <cellStyle name="20% - Ênfase6 37 3" xfId="741" xr:uid="{00000000-0005-0000-0000-000033020000}"/>
    <cellStyle name="20% - Ênfase6 4" xfId="742" xr:uid="{00000000-0005-0000-0000-000034020000}"/>
    <cellStyle name="20% - Ênfase6 4 2" xfId="743" xr:uid="{00000000-0005-0000-0000-000035020000}"/>
    <cellStyle name="20% - Ênfase6 4 2 2" xfId="744" xr:uid="{00000000-0005-0000-0000-000036020000}"/>
    <cellStyle name="20% - Ênfase6 4 3" xfId="745" xr:uid="{00000000-0005-0000-0000-000037020000}"/>
    <cellStyle name="20% - Ênfase6 5" xfId="746" xr:uid="{00000000-0005-0000-0000-000038020000}"/>
    <cellStyle name="20% - Ênfase6 5 2" xfId="747" xr:uid="{00000000-0005-0000-0000-000039020000}"/>
    <cellStyle name="20% - Ênfase6 5 2 2" xfId="748" xr:uid="{00000000-0005-0000-0000-00003A020000}"/>
    <cellStyle name="20% - Ênfase6 5 3" xfId="749" xr:uid="{00000000-0005-0000-0000-00003B020000}"/>
    <cellStyle name="20% - Ênfase6 6" xfId="750" xr:uid="{00000000-0005-0000-0000-00003C020000}"/>
    <cellStyle name="20% - Ênfase6 6 2" xfId="751" xr:uid="{00000000-0005-0000-0000-00003D020000}"/>
    <cellStyle name="20% - Ênfase6 6 2 2" xfId="752" xr:uid="{00000000-0005-0000-0000-00003E020000}"/>
    <cellStyle name="20% - Ênfase6 6 3" xfId="753" xr:uid="{00000000-0005-0000-0000-00003F020000}"/>
    <cellStyle name="20% - Ênfase6 7" xfId="754" xr:uid="{00000000-0005-0000-0000-000040020000}"/>
    <cellStyle name="20% - Ênfase6 7 2" xfId="755" xr:uid="{00000000-0005-0000-0000-000041020000}"/>
    <cellStyle name="20% - Ênfase6 7 2 2" xfId="756" xr:uid="{00000000-0005-0000-0000-000042020000}"/>
    <cellStyle name="20% - Ênfase6 7 3" xfId="757" xr:uid="{00000000-0005-0000-0000-000043020000}"/>
    <cellStyle name="20% - Ênfase6 8" xfId="758" xr:uid="{00000000-0005-0000-0000-000044020000}"/>
    <cellStyle name="20% - Ênfase6 8 2" xfId="759" xr:uid="{00000000-0005-0000-0000-000045020000}"/>
    <cellStyle name="20% - Ênfase6 8 2 2" xfId="760" xr:uid="{00000000-0005-0000-0000-000046020000}"/>
    <cellStyle name="20% - Ênfase6 8 3" xfId="761" xr:uid="{00000000-0005-0000-0000-000047020000}"/>
    <cellStyle name="20% - Ênfase6 9" xfId="762" xr:uid="{00000000-0005-0000-0000-000048020000}"/>
    <cellStyle name="20% - Ênfase6 9 2" xfId="763" xr:uid="{00000000-0005-0000-0000-000049020000}"/>
    <cellStyle name="20% - Ênfase6 9 2 2" xfId="764" xr:uid="{00000000-0005-0000-0000-00004A020000}"/>
    <cellStyle name="20% - Ênfase6 9 3" xfId="765" xr:uid="{00000000-0005-0000-0000-00004B020000}"/>
    <cellStyle name="40% - Accent1" xfId="51" xr:uid="{00000000-0005-0000-0000-00004C020000}"/>
    <cellStyle name="40% - Accent2" xfId="52" xr:uid="{00000000-0005-0000-0000-00004D020000}"/>
    <cellStyle name="40% - Accent3" xfId="53" xr:uid="{00000000-0005-0000-0000-00004E020000}"/>
    <cellStyle name="40% - Accent4" xfId="54" xr:uid="{00000000-0005-0000-0000-00004F020000}"/>
    <cellStyle name="40% - Accent5" xfId="55" xr:uid="{00000000-0005-0000-0000-000050020000}"/>
    <cellStyle name="40% - Accent6" xfId="56" xr:uid="{00000000-0005-0000-0000-000051020000}"/>
    <cellStyle name="40% - Ênfase1 10" xfId="766" xr:uid="{00000000-0005-0000-0000-000052020000}"/>
    <cellStyle name="40% - Ênfase1 10 2" xfId="767" xr:uid="{00000000-0005-0000-0000-000053020000}"/>
    <cellStyle name="40% - Ênfase1 11" xfId="768" xr:uid="{00000000-0005-0000-0000-000054020000}"/>
    <cellStyle name="40% - Ênfase1 11 2" xfId="769" xr:uid="{00000000-0005-0000-0000-000055020000}"/>
    <cellStyle name="40% - Ênfase1 12" xfId="770" xr:uid="{00000000-0005-0000-0000-000056020000}"/>
    <cellStyle name="40% - Ênfase1 12 2" xfId="771" xr:uid="{00000000-0005-0000-0000-000057020000}"/>
    <cellStyle name="40% - Ênfase1 13" xfId="772" xr:uid="{00000000-0005-0000-0000-000058020000}"/>
    <cellStyle name="40% - Ênfase1 13 2" xfId="773" xr:uid="{00000000-0005-0000-0000-000059020000}"/>
    <cellStyle name="40% - Ênfase1 14" xfId="774" xr:uid="{00000000-0005-0000-0000-00005A020000}"/>
    <cellStyle name="40% - Ênfase1 14 2" xfId="775" xr:uid="{00000000-0005-0000-0000-00005B020000}"/>
    <cellStyle name="40% - Ênfase1 15" xfId="776" xr:uid="{00000000-0005-0000-0000-00005C020000}"/>
    <cellStyle name="40% - Ênfase1 15 2" xfId="777" xr:uid="{00000000-0005-0000-0000-00005D020000}"/>
    <cellStyle name="40% - Ênfase1 16" xfId="778" xr:uid="{00000000-0005-0000-0000-00005E020000}"/>
    <cellStyle name="40% - Ênfase1 16 2" xfId="779" xr:uid="{00000000-0005-0000-0000-00005F020000}"/>
    <cellStyle name="40% - Ênfase1 17" xfId="780" xr:uid="{00000000-0005-0000-0000-000060020000}"/>
    <cellStyle name="40% - Ênfase1 17 2" xfId="781" xr:uid="{00000000-0005-0000-0000-000061020000}"/>
    <cellStyle name="40% - Ênfase1 18" xfId="782" xr:uid="{00000000-0005-0000-0000-000062020000}"/>
    <cellStyle name="40% - Ênfase1 18 2" xfId="783" xr:uid="{00000000-0005-0000-0000-000063020000}"/>
    <cellStyle name="40% - Ênfase1 19" xfId="784" xr:uid="{00000000-0005-0000-0000-000064020000}"/>
    <cellStyle name="40% - Ênfase1 19 2" xfId="785" xr:uid="{00000000-0005-0000-0000-000065020000}"/>
    <cellStyle name="40% - Ênfase1 2" xfId="786" xr:uid="{00000000-0005-0000-0000-000066020000}"/>
    <cellStyle name="40% - Ênfase1 2 2" xfId="787" xr:uid="{00000000-0005-0000-0000-000067020000}"/>
    <cellStyle name="40% - Ênfase1 2 2 2" xfId="788" xr:uid="{00000000-0005-0000-0000-000068020000}"/>
    <cellStyle name="40% - Ênfase1 20" xfId="789" xr:uid="{00000000-0005-0000-0000-000069020000}"/>
    <cellStyle name="40% - Ênfase1 20 2" xfId="790" xr:uid="{00000000-0005-0000-0000-00006A020000}"/>
    <cellStyle name="40% - Ênfase1 21" xfId="791" xr:uid="{00000000-0005-0000-0000-00006B020000}"/>
    <cellStyle name="40% - Ênfase1 21 2" xfId="792" xr:uid="{00000000-0005-0000-0000-00006C020000}"/>
    <cellStyle name="40% - Ênfase1 22" xfId="793" xr:uid="{00000000-0005-0000-0000-00006D020000}"/>
    <cellStyle name="40% - Ênfase1 22 2" xfId="794" xr:uid="{00000000-0005-0000-0000-00006E020000}"/>
    <cellStyle name="40% - Ênfase1 23" xfId="795" xr:uid="{00000000-0005-0000-0000-00006F020000}"/>
    <cellStyle name="40% - Ênfase1 23 2" xfId="796" xr:uid="{00000000-0005-0000-0000-000070020000}"/>
    <cellStyle name="40% - Ênfase1 24" xfId="797" xr:uid="{00000000-0005-0000-0000-000071020000}"/>
    <cellStyle name="40% - Ênfase1 24 2" xfId="798" xr:uid="{00000000-0005-0000-0000-000072020000}"/>
    <cellStyle name="40% - Ênfase1 25" xfId="799" xr:uid="{00000000-0005-0000-0000-000073020000}"/>
    <cellStyle name="40% - Ênfase1 25 2" xfId="800" xr:uid="{00000000-0005-0000-0000-000074020000}"/>
    <cellStyle name="40% - Ênfase1 26" xfId="801" xr:uid="{00000000-0005-0000-0000-000075020000}"/>
    <cellStyle name="40% - Ênfase1 26 2" xfId="802" xr:uid="{00000000-0005-0000-0000-000076020000}"/>
    <cellStyle name="40% - Ênfase1 27" xfId="803" xr:uid="{00000000-0005-0000-0000-000077020000}"/>
    <cellStyle name="40% - Ênfase1 27 2" xfId="804" xr:uid="{00000000-0005-0000-0000-000078020000}"/>
    <cellStyle name="40% - Ênfase1 28" xfId="805" xr:uid="{00000000-0005-0000-0000-000079020000}"/>
    <cellStyle name="40% - Ênfase1 28 2" xfId="806" xr:uid="{00000000-0005-0000-0000-00007A020000}"/>
    <cellStyle name="40% - Ênfase1 29" xfId="807" xr:uid="{00000000-0005-0000-0000-00007B020000}"/>
    <cellStyle name="40% - Ênfase1 29 2" xfId="808" xr:uid="{00000000-0005-0000-0000-00007C020000}"/>
    <cellStyle name="40% - Ênfase1 3" xfId="809" xr:uid="{00000000-0005-0000-0000-00007D020000}"/>
    <cellStyle name="40% - Ênfase1 3 2" xfId="810" xr:uid="{00000000-0005-0000-0000-00007E020000}"/>
    <cellStyle name="40% - Ênfase1 30" xfId="811" xr:uid="{00000000-0005-0000-0000-00007F020000}"/>
    <cellStyle name="40% - Ênfase1 30 2" xfId="812" xr:uid="{00000000-0005-0000-0000-000080020000}"/>
    <cellStyle name="40% - Ênfase1 31" xfId="813" xr:uid="{00000000-0005-0000-0000-000081020000}"/>
    <cellStyle name="40% - Ênfase1 31 2" xfId="814" xr:uid="{00000000-0005-0000-0000-000082020000}"/>
    <cellStyle name="40% - Ênfase1 32" xfId="815" xr:uid="{00000000-0005-0000-0000-000083020000}"/>
    <cellStyle name="40% - Ênfase1 32 2" xfId="816" xr:uid="{00000000-0005-0000-0000-000084020000}"/>
    <cellStyle name="40% - Ênfase1 33" xfId="817" xr:uid="{00000000-0005-0000-0000-000085020000}"/>
    <cellStyle name="40% - Ênfase1 33 2" xfId="818" xr:uid="{00000000-0005-0000-0000-000086020000}"/>
    <cellStyle name="40% - Ênfase1 34" xfId="819" xr:uid="{00000000-0005-0000-0000-000087020000}"/>
    <cellStyle name="40% - Ênfase1 34 2" xfId="820" xr:uid="{00000000-0005-0000-0000-000088020000}"/>
    <cellStyle name="40% - Ênfase1 35" xfId="821" xr:uid="{00000000-0005-0000-0000-000089020000}"/>
    <cellStyle name="40% - Ênfase1 35 2" xfId="822" xr:uid="{00000000-0005-0000-0000-00008A020000}"/>
    <cellStyle name="40% - Ênfase1 36" xfId="823" xr:uid="{00000000-0005-0000-0000-00008B020000}"/>
    <cellStyle name="40% - Ênfase1 36 2" xfId="824" xr:uid="{00000000-0005-0000-0000-00008C020000}"/>
    <cellStyle name="40% - Ênfase1 37" xfId="825" xr:uid="{00000000-0005-0000-0000-00008D020000}"/>
    <cellStyle name="40% - Ênfase1 37 2" xfId="826" xr:uid="{00000000-0005-0000-0000-00008E020000}"/>
    <cellStyle name="40% - Ênfase1 4" xfId="827" xr:uid="{00000000-0005-0000-0000-00008F020000}"/>
    <cellStyle name="40% - Ênfase1 4 2" xfId="828" xr:uid="{00000000-0005-0000-0000-000090020000}"/>
    <cellStyle name="40% - Ênfase1 5" xfId="829" xr:uid="{00000000-0005-0000-0000-000091020000}"/>
    <cellStyle name="40% - Ênfase1 5 2" xfId="830" xr:uid="{00000000-0005-0000-0000-000092020000}"/>
    <cellStyle name="40% - Ênfase1 6" xfId="831" xr:uid="{00000000-0005-0000-0000-000093020000}"/>
    <cellStyle name="40% - Ênfase1 6 2" xfId="832" xr:uid="{00000000-0005-0000-0000-000094020000}"/>
    <cellStyle name="40% - Ênfase1 7" xfId="833" xr:uid="{00000000-0005-0000-0000-000095020000}"/>
    <cellStyle name="40% - Ênfase1 7 2" xfId="834" xr:uid="{00000000-0005-0000-0000-000096020000}"/>
    <cellStyle name="40% - Ênfase1 8" xfId="835" xr:uid="{00000000-0005-0000-0000-000097020000}"/>
    <cellStyle name="40% - Ênfase1 8 2" xfId="836" xr:uid="{00000000-0005-0000-0000-000098020000}"/>
    <cellStyle name="40% - Ênfase1 9" xfId="837" xr:uid="{00000000-0005-0000-0000-000099020000}"/>
    <cellStyle name="40% - Ênfase1 9 2" xfId="838" xr:uid="{00000000-0005-0000-0000-00009A020000}"/>
    <cellStyle name="40% - Ênfase2 10" xfId="839" xr:uid="{00000000-0005-0000-0000-00009B020000}"/>
    <cellStyle name="40% - Ênfase2 10 2" xfId="840" xr:uid="{00000000-0005-0000-0000-00009C020000}"/>
    <cellStyle name="40% - Ênfase2 11" xfId="841" xr:uid="{00000000-0005-0000-0000-00009D020000}"/>
    <cellStyle name="40% - Ênfase2 11 2" xfId="842" xr:uid="{00000000-0005-0000-0000-00009E020000}"/>
    <cellStyle name="40% - Ênfase2 12" xfId="843" xr:uid="{00000000-0005-0000-0000-00009F020000}"/>
    <cellStyle name="40% - Ênfase2 12 2" xfId="844" xr:uid="{00000000-0005-0000-0000-0000A0020000}"/>
    <cellStyle name="40% - Ênfase2 13" xfId="845" xr:uid="{00000000-0005-0000-0000-0000A1020000}"/>
    <cellStyle name="40% - Ênfase2 13 2" xfId="846" xr:uid="{00000000-0005-0000-0000-0000A2020000}"/>
    <cellStyle name="40% - Ênfase2 14" xfId="847" xr:uid="{00000000-0005-0000-0000-0000A3020000}"/>
    <cellStyle name="40% - Ênfase2 14 2" xfId="848" xr:uid="{00000000-0005-0000-0000-0000A4020000}"/>
    <cellStyle name="40% - Ênfase2 15" xfId="849" xr:uid="{00000000-0005-0000-0000-0000A5020000}"/>
    <cellStyle name="40% - Ênfase2 15 2" xfId="850" xr:uid="{00000000-0005-0000-0000-0000A6020000}"/>
    <cellStyle name="40% - Ênfase2 16" xfId="851" xr:uid="{00000000-0005-0000-0000-0000A7020000}"/>
    <cellStyle name="40% - Ênfase2 16 2" xfId="852" xr:uid="{00000000-0005-0000-0000-0000A8020000}"/>
    <cellStyle name="40% - Ênfase2 17" xfId="853" xr:uid="{00000000-0005-0000-0000-0000A9020000}"/>
    <cellStyle name="40% - Ênfase2 17 2" xfId="854" xr:uid="{00000000-0005-0000-0000-0000AA020000}"/>
    <cellStyle name="40% - Ênfase2 18" xfId="855" xr:uid="{00000000-0005-0000-0000-0000AB020000}"/>
    <cellStyle name="40% - Ênfase2 18 2" xfId="856" xr:uid="{00000000-0005-0000-0000-0000AC020000}"/>
    <cellStyle name="40% - Ênfase2 19" xfId="857" xr:uid="{00000000-0005-0000-0000-0000AD020000}"/>
    <cellStyle name="40% - Ênfase2 19 2" xfId="858" xr:uid="{00000000-0005-0000-0000-0000AE020000}"/>
    <cellStyle name="40% - Ênfase2 2" xfId="859" xr:uid="{00000000-0005-0000-0000-0000AF020000}"/>
    <cellStyle name="40% - Ênfase2 2 2" xfId="860" xr:uid="{00000000-0005-0000-0000-0000B0020000}"/>
    <cellStyle name="40% - Ênfase2 2 2 2" xfId="861" xr:uid="{00000000-0005-0000-0000-0000B1020000}"/>
    <cellStyle name="40% - Ênfase2 20" xfId="862" xr:uid="{00000000-0005-0000-0000-0000B2020000}"/>
    <cellStyle name="40% - Ênfase2 20 2" xfId="863" xr:uid="{00000000-0005-0000-0000-0000B3020000}"/>
    <cellStyle name="40% - Ênfase2 21" xfId="864" xr:uid="{00000000-0005-0000-0000-0000B4020000}"/>
    <cellStyle name="40% - Ênfase2 21 2" xfId="865" xr:uid="{00000000-0005-0000-0000-0000B5020000}"/>
    <cellStyle name="40% - Ênfase2 22" xfId="866" xr:uid="{00000000-0005-0000-0000-0000B6020000}"/>
    <cellStyle name="40% - Ênfase2 22 2" xfId="867" xr:uid="{00000000-0005-0000-0000-0000B7020000}"/>
    <cellStyle name="40% - Ênfase2 23" xfId="868" xr:uid="{00000000-0005-0000-0000-0000B8020000}"/>
    <cellStyle name="40% - Ênfase2 23 2" xfId="869" xr:uid="{00000000-0005-0000-0000-0000B9020000}"/>
    <cellStyle name="40% - Ênfase2 24" xfId="870" xr:uid="{00000000-0005-0000-0000-0000BA020000}"/>
    <cellStyle name="40% - Ênfase2 24 2" xfId="871" xr:uid="{00000000-0005-0000-0000-0000BB020000}"/>
    <cellStyle name="40% - Ênfase2 25" xfId="872" xr:uid="{00000000-0005-0000-0000-0000BC020000}"/>
    <cellStyle name="40% - Ênfase2 25 2" xfId="873" xr:uid="{00000000-0005-0000-0000-0000BD020000}"/>
    <cellStyle name="40% - Ênfase2 26" xfId="874" xr:uid="{00000000-0005-0000-0000-0000BE020000}"/>
    <cellStyle name="40% - Ênfase2 26 2" xfId="875" xr:uid="{00000000-0005-0000-0000-0000BF020000}"/>
    <cellStyle name="40% - Ênfase2 27" xfId="876" xr:uid="{00000000-0005-0000-0000-0000C0020000}"/>
    <cellStyle name="40% - Ênfase2 27 2" xfId="877" xr:uid="{00000000-0005-0000-0000-0000C1020000}"/>
    <cellStyle name="40% - Ênfase2 28" xfId="878" xr:uid="{00000000-0005-0000-0000-0000C2020000}"/>
    <cellStyle name="40% - Ênfase2 28 2" xfId="879" xr:uid="{00000000-0005-0000-0000-0000C3020000}"/>
    <cellStyle name="40% - Ênfase2 29" xfId="880" xr:uid="{00000000-0005-0000-0000-0000C4020000}"/>
    <cellStyle name="40% - Ênfase2 29 2" xfId="881" xr:uid="{00000000-0005-0000-0000-0000C5020000}"/>
    <cellStyle name="40% - Ênfase2 3" xfId="882" xr:uid="{00000000-0005-0000-0000-0000C6020000}"/>
    <cellStyle name="40% - Ênfase2 3 2" xfId="883" xr:uid="{00000000-0005-0000-0000-0000C7020000}"/>
    <cellStyle name="40% - Ênfase2 30" xfId="884" xr:uid="{00000000-0005-0000-0000-0000C8020000}"/>
    <cellStyle name="40% - Ênfase2 30 2" xfId="885" xr:uid="{00000000-0005-0000-0000-0000C9020000}"/>
    <cellStyle name="40% - Ênfase2 31" xfId="886" xr:uid="{00000000-0005-0000-0000-0000CA020000}"/>
    <cellStyle name="40% - Ênfase2 31 2" xfId="887" xr:uid="{00000000-0005-0000-0000-0000CB020000}"/>
    <cellStyle name="40% - Ênfase2 32" xfId="888" xr:uid="{00000000-0005-0000-0000-0000CC020000}"/>
    <cellStyle name="40% - Ênfase2 32 2" xfId="889" xr:uid="{00000000-0005-0000-0000-0000CD020000}"/>
    <cellStyle name="40% - Ênfase2 33" xfId="890" xr:uid="{00000000-0005-0000-0000-0000CE020000}"/>
    <cellStyle name="40% - Ênfase2 33 2" xfId="891" xr:uid="{00000000-0005-0000-0000-0000CF020000}"/>
    <cellStyle name="40% - Ênfase2 34" xfId="892" xr:uid="{00000000-0005-0000-0000-0000D0020000}"/>
    <cellStyle name="40% - Ênfase2 34 2" xfId="893" xr:uid="{00000000-0005-0000-0000-0000D1020000}"/>
    <cellStyle name="40% - Ênfase2 35" xfId="894" xr:uid="{00000000-0005-0000-0000-0000D2020000}"/>
    <cellStyle name="40% - Ênfase2 35 2" xfId="895" xr:uid="{00000000-0005-0000-0000-0000D3020000}"/>
    <cellStyle name="40% - Ênfase2 36" xfId="896" xr:uid="{00000000-0005-0000-0000-0000D4020000}"/>
    <cellStyle name="40% - Ênfase2 36 2" xfId="897" xr:uid="{00000000-0005-0000-0000-0000D5020000}"/>
    <cellStyle name="40% - Ênfase2 37" xfId="898" xr:uid="{00000000-0005-0000-0000-0000D6020000}"/>
    <cellStyle name="40% - Ênfase2 37 2" xfId="899" xr:uid="{00000000-0005-0000-0000-0000D7020000}"/>
    <cellStyle name="40% - Ênfase2 4" xfId="900" xr:uid="{00000000-0005-0000-0000-0000D8020000}"/>
    <cellStyle name="40% - Ênfase2 4 2" xfId="901" xr:uid="{00000000-0005-0000-0000-0000D9020000}"/>
    <cellStyle name="40% - Ênfase2 5" xfId="902" xr:uid="{00000000-0005-0000-0000-0000DA020000}"/>
    <cellStyle name="40% - Ênfase2 5 2" xfId="903" xr:uid="{00000000-0005-0000-0000-0000DB020000}"/>
    <cellStyle name="40% - Ênfase2 6" xfId="904" xr:uid="{00000000-0005-0000-0000-0000DC020000}"/>
    <cellStyle name="40% - Ênfase2 6 2" xfId="905" xr:uid="{00000000-0005-0000-0000-0000DD020000}"/>
    <cellStyle name="40% - Ênfase2 7" xfId="906" xr:uid="{00000000-0005-0000-0000-0000DE020000}"/>
    <cellStyle name="40% - Ênfase2 7 2" xfId="907" xr:uid="{00000000-0005-0000-0000-0000DF020000}"/>
    <cellStyle name="40% - Ênfase2 8" xfId="908" xr:uid="{00000000-0005-0000-0000-0000E0020000}"/>
    <cellStyle name="40% - Ênfase2 8 2" xfId="909" xr:uid="{00000000-0005-0000-0000-0000E1020000}"/>
    <cellStyle name="40% - Ênfase2 9" xfId="910" xr:uid="{00000000-0005-0000-0000-0000E2020000}"/>
    <cellStyle name="40% - Ênfase2 9 2" xfId="911" xr:uid="{00000000-0005-0000-0000-0000E3020000}"/>
    <cellStyle name="40% - Ênfase3 10" xfId="912" xr:uid="{00000000-0005-0000-0000-0000E4020000}"/>
    <cellStyle name="40% - Ênfase3 10 2" xfId="913" xr:uid="{00000000-0005-0000-0000-0000E5020000}"/>
    <cellStyle name="40% - Ênfase3 11" xfId="914" xr:uid="{00000000-0005-0000-0000-0000E6020000}"/>
    <cellStyle name="40% - Ênfase3 11 2" xfId="915" xr:uid="{00000000-0005-0000-0000-0000E7020000}"/>
    <cellStyle name="40% - Ênfase3 12" xfId="916" xr:uid="{00000000-0005-0000-0000-0000E8020000}"/>
    <cellStyle name="40% - Ênfase3 12 2" xfId="917" xr:uid="{00000000-0005-0000-0000-0000E9020000}"/>
    <cellStyle name="40% - Ênfase3 13" xfId="918" xr:uid="{00000000-0005-0000-0000-0000EA020000}"/>
    <cellStyle name="40% - Ênfase3 13 2" xfId="919" xr:uid="{00000000-0005-0000-0000-0000EB020000}"/>
    <cellStyle name="40% - Ênfase3 14" xfId="920" xr:uid="{00000000-0005-0000-0000-0000EC020000}"/>
    <cellStyle name="40% - Ênfase3 14 2" xfId="921" xr:uid="{00000000-0005-0000-0000-0000ED020000}"/>
    <cellStyle name="40% - Ênfase3 15" xfId="922" xr:uid="{00000000-0005-0000-0000-0000EE020000}"/>
    <cellStyle name="40% - Ênfase3 15 2" xfId="923" xr:uid="{00000000-0005-0000-0000-0000EF020000}"/>
    <cellStyle name="40% - Ênfase3 16" xfId="924" xr:uid="{00000000-0005-0000-0000-0000F0020000}"/>
    <cellStyle name="40% - Ênfase3 16 2" xfId="925" xr:uid="{00000000-0005-0000-0000-0000F1020000}"/>
    <cellStyle name="40% - Ênfase3 17" xfId="926" xr:uid="{00000000-0005-0000-0000-0000F2020000}"/>
    <cellStyle name="40% - Ênfase3 17 2" xfId="927" xr:uid="{00000000-0005-0000-0000-0000F3020000}"/>
    <cellStyle name="40% - Ênfase3 18" xfId="928" xr:uid="{00000000-0005-0000-0000-0000F4020000}"/>
    <cellStyle name="40% - Ênfase3 18 2" xfId="929" xr:uid="{00000000-0005-0000-0000-0000F5020000}"/>
    <cellStyle name="40% - Ênfase3 19" xfId="930" xr:uid="{00000000-0005-0000-0000-0000F6020000}"/>
    <cellStyle name="40% - Ênfase3 19 2" xfId="931" xr:uid="{00000000-0005-0000-0000-0000F7020000}"/>
    <cellStyle name="40% - Ênfase3 2" xfId="932" xr:uid="{00000000-0005-0000-0000-0000F8020000}"/>
    <cellStyle name="40% - Ênfase3 2 2" xfId="933" xr:uid="{00000000-0005-0000-0000-0000F9020000}"/>
    <cellStyle name="40% - Ênfase3 2 2 2" xfId="934" xr:uid="{00000000-0005-0000-0000-0000FA020000}"/>
    <cellStyle name="40% - Ênfase3 20" xfId="935" xr:uid="{00000000-0005-0000-0000-0000FB020000}"/>
    <cellStyle name="40% - Ênfase3 20 2" xfId="936" xr:uid="{00000000-0005-0000-0000-0000FC020000}"/>
    <cellStyle name="40% - Ênfase3 21" xfId="937" xr:uid="{00000000-0005-0000-0000-0000FD020000}"/>
    <cellStyle name="40% - Ênfase3 21 2" xfId="938" xr:uid="{00000000-0005-0000-0000-0000FE020000}"/>
    <cellStyle name="40% - Ênfase3 22" xfId="939" xr:uid="{00000000-0005-0000-0000-0000FF020000}"/>
    <cellStyle name="40% - Ênfase3 22 2" xfId="940" xr:uid="{00000000-0005-0000-0000-000000030000}"/>
    <cellStyle name="40% - Ênfase3 23" xfId="941" xr:uid="{00000000-0005-0000-0000-000001030000}"/>
    <cellStyle name="40% - Ênfase3 23 2" xfId="942" xr:uid="{00000000-0005-0000-0000-000002030000}"/>
    <cellStyle name="40% - Ênfase3 24" xfId="943" xr:uid="{00000000-0005-0000-0000-000003030000}"/>
    <cellStyle name="40% - Ênfase3 24 2" xfId="944" xr:uid="{00000000-0005-0000-0000-000004030000}"/>
    <cellStyle name="40% - Ênfase3 25" xfId="945" xr:uid="{00000000-0005-0000-0000-000005030000}"/>
    <cellStyle name="40% - Ênfase3 25 2" xfId="946" xr:uid="{00000000-0005-0000-0000-000006030000}"/>
    <cellStyle name="40% - Ênfase3 26" xfId="947" xr:uid="{00000000-0005-0000-0000-000007030000}"/>
    <cellStyle name="40% - Ênfase3 26 2" xfId="948" xr:uid="{00000000-0005-0000-0000-000008030000}"/>
    <cellStyle name="40% - Ênfase3 27" xfId="949" xr:uid="{00000000-0005-0000-0000-000009030000}"/>
    <cellStyle name="40% - Ênfase3 27 2" xfId="950" xr:uid="{00000000-0005-0000-0000-00000A030000}"/>
    <cellStyle name="40% - Ênfase3 28" xfId="951" xr:uid="{00000000-0005-0000-0000-00000B030000}"/>
    <cellStyle name="40% - Ênfase3 28 2" xfId="952" xr:uid="{00000000-0005-0000-0000-00000C030000}"/>
    <cellStyle name="40% - Ênfase3 29" xfId="953" xr:uid="{00000000-0005-0000-0000-00000D030000}"/>
    <cellStyle name="40% - Ênfase3 29 2" xfId="954" xr:uid="{00000000-0005-0000-0000-00000E030000}"/>
    <cellStyle name="40% - Ênfase3 3" xfId="955" xr:uid="{00000000-0005-0000-0000-00000F030000}"/>
    <cellStyle name="40% - Ênfase3 3 2" xfId="956" xr:uid="{00000000-0005-0000-0000-000010030000}"/>
    <cellStyle name="40% - Ênfase3 30" xfId="957" xr:uid="{00000000-0005-0000-0000-000011030000}"/>
    <cellStyle name="40% - Ênfase3 30 2" xfId="958" xr:uid="{00000000-0005-0000-0000-000012030000}"/>
    <cellStyle name="40% - Ênfase3 31" xfId="959" xr:uid="{00000000-0005-0000-0000-000013030000}"/>
    <cellStyle name="40% - Ênfase3 31 2" xfId="960" xr:uid="{00000000-0005-0000-0000-000014030000}"/>
    <cellStyle name="40% - Ênfase3 32" xfId="961" xr:uid="{00000000-0005-0000-0000-000015030000}"/>
    <cellStyle name="40% - Ênfase3 32 2" xfId="962" xr:uid="{00000000-0005-0000-0000-000016030000}"/>
    <cellStyle name="40% - Ênfase3 33" xfId="963" xr:uid="{00000000-0005-0000-0000-000017030000}"/>
    <cellStyle name="40% - Ênfase3 33 2" xfId="964" xr:uid="{00000000-0005-0000-0000-000018030000}"/>
    <cellStyle name="40% - Ênfase3 34" xfId="965" xr:uid="{00000000-0005-0000-0000-000019030000}"/>
    <cellStyle name="40% - Ênfase3 34 2" xfId="966" xr:uid="{00000000-0005-0000-0000-00001A030000}"/>
    <cellStyle name="40% - Ênfase3 35" xfId="967" xr:uid="{00000000-0005-0000-0000-00001B030000}"/>
    <cellStyle name="40% - Ênfase3 35 2" xfId="968" xr:uid="{00000000-0005-0000-0000-00001C030000}"/>
    <cellStyle name="40% - Ênfase3 36" xfId="969" xr:uid="{00000000-0005-0000-0000-00001D030000}"/>
    <cellStyle name="40% - Ênfase3 36 2" xfId="970" xr:uid="{00000000-0005-0000-0000-00001E030000}"/>
    <cellStyle name="40% - Ênfase3 37" xfId="971" xr:uid="{00000000-0005-0000-0000-00001F030000}"/>
    <cellStyle name="40% - Ênfase3 37 2" xfId="972" xr:uid="{00000000-0005-0000-0000-000020030000}"/>
    <cellStyle name="40% - Ênfase3 4" xfId="973" xr:uid="{00000000-0005-0000-0000-000021030000}"/>
    <cellStyle name="40% - Ênfase3 4 2" xfId="974" xr:uid="{00000000-0005-0000-0000-000022030000}"/>
    <cellStyle name="40% - Ênfase3 5" xfId="975" xr:uid="{00000000-0005-0000-0000-000023030000}"/>
    <cellStyle name="40% - Ênfase3 5 2" xfId="976" xr:uid="{00000000-0005-0000-0000-000024030000}"/>
    <cellStyle name="40% - Ênfase3 6" xfId="977" xr:uid="{00000000-0005-0000-0000-000025030000}"/>
    <cellStyle name="40% - Ênfase3 6 2" xfId="978" xr:uid="{00000000-0005-0000-0000-000026030000}"/>
    <cellStyle name="40% - Ênfase3 7" xfId="979" xr:uid="{00000000-0005-0000-0000-000027030000}"/>
    <cellStyle name="40% - Ênfase3 7 2" xfId="980" xr:uid="{00000000-0005-0000-0000-000028030000}"/>
    <cellStyle name="40% - Ênfase3 8" xfId="981" xr:uid="{00000000-0005-0000-0000-000029030000}"/>
    <cellStyle name="40% - Ênfase3 8 2" xfId="982" xr:uid="{00000000-0005-0000-0000-00002A030000}"/>
    <cellStyle name="40% - Ênfase3 9" xfId="983" xr:uid="{00000000-0005-0000-0000-00002B030000}"/>
    <cellStyle name="40% - Ênfase3 9 2" xfId="984" xr:uid="{00000000-0005-0000-0000-00002C030000}"/>
    <cellStyle name="40% - Ênfase4 10" xfId="985" xr:uid="{00000000-0005-0000-0000-00002D030000}"/>
    <cellStyle name="40% - Ênfase4 10 2" xfId="986" xr:uid="{00000000-0005-0000-0000-00002E030000}"/>
    <cellStyle name="40% - Ênfase4 11" xfId="987" xr:uid="{00000000-0005-0000-0000-00002F030000}"/>
    <cellStyle name="40% - Ênfase4 11 2" xfId="988" xr:uid="{00000000-0005-0000-0000-000030030000}"/>
    <cellStyle name="40% - Ênfase4 12" xfId="989" xr:uid="{00000000-0005-0000-0000-000031030000}"/>
    <cellStyle name="40% - Ênfase4 12 2" xfId="990" xr:uid="{00000000-0005-0000-0000-000032030000}"/>
    <cellStyle name="40% - Ênfase4 13" xfId="991" xr:uid="{00000000-0005-0000-0000-000033030000}"/>
    <cellStyle name="40% - Ênfase4 13 2" xfId="992" xr:uid="{00000000-0005-0000-0000-000034030000}"/>
    <cellStyle name="40% - Ênfase4 14" xfId="993" xr:uid="{00000000-0005-0000-0000-000035030000}"/>
    <cellStyle name="40% - Ênfase4 14 2" xfId="994" xr:uid="{00000000-0005-0000-0000-000036030000}"/>
    <cellStyle name="40% - Ênfase4 15" xfId="995" xr:uid="{00000000-0005-0000-0000-000037030000}"/>
    <cellStyle name="40% - Ênfase4 15 2" xfId="996" xr:uid="{00000000-0005-0000-0000-000038030000}"/>
    <cellStyle name="40% - Ênfase4 16" xfId="997" xr:uid="{00000000-0005-0000-0000-000039030000}"/>
    <cellStyle name="40% - Ênfase4 16 2" xfId="998" xr:uid="{00000000-0005-0000-0000-00003A030000}"/>
    <cellStyle name="40% - Ênfase4 17" xfId="999" xr:uid="{00000000-0005-0000-0000-00003B030000}"/>
    <cellStyle name="40% - Ênfase4 17 2" xfId="1000" xr:uid="{00000000-0005-0000-0000-00003C030000}"/>
    <cellStyle name="40% - Ênfase4 18" xfId="1001" xr:uid="{00000000-0005-0000-0000-00003D030000}"/>
    <cellStyle name="40% - Ênfase4 18 2" xfId="1002" xr:uid="{00000000-0005-0000-0000-00003E030000}"/>
    <cellStyle name="40% - Ênfase4 19" xfId="1003" xr:uid="{00000000-0005-0000-0000-00003F030000}"/>
    <cellStyle name="40% - Ênfase4 19 2" xfId="1004" xr:uid="{00000000-0005-0000-0000-000040030000}"/>
    <cellStyle name="40% - Ênfase4 2" xfId="1005" xr:uid="{00000000-0005-0000-0000-000041030000}"/>
    <cellStyle name="40% - Ênfase4 2 2" xfId="1006" xr:uid="{00000000-0005-0000-0000-000042030000}"/>
    <cellStyle name="40% - Ênfase4 2 2 2" xfId="1007" xr:uid="{00000000-0005-0000-0000-000043030000}"/>
    <cellStyle name="40% - Ênfase4 20" xfId="1008" xr:uid="{00000000-0005-0000-0000-000044030000}"/>
    <cellStyle name="40% - Ênfase4 20 2" xfId="1009" xr:uid="{00000000-0005-0000-0000-000045030000}"/>
    <cellStyle name="40% - Ênfase4 21" xfId="1010" xr:uid="{00000000-0005-0000-0000-000046030000}"/>
    <cellStyle name="40% - Ênfase4 21 2" xfId="1011" xr:uid="{00000000-0005-0000-0000-000047030000}"/>
    <cellStyle name="40% - Ênfase4 22" xfId="1012" xr:uid="{00000000-0005-0000-0000-000048030000}"/>
    <cellStyle name="40% - Ênfase4 22 2" xfId="1013" xr:uid="{00000000-0005-0000-0000-000049030000}"/>
    <cellStyle name="40% - Ênfase4 23" xfId="1014" xr:uid="{00000000-0005-0000-0000-00004A030000}"/>
    <cellStyle name="40% - Ênfase4 23 2" xfId="1015" xr:uid="{00000000-0005-0000-0000-00004B030000}"/>
    <cellStyle name="40% - Ênfase4 24" xfId="1016" xr:uid="{00000000-0005-0000-0000-00004C030000}"/>
    <cellStyle name="40% - Ênfase4 24 2" xfId="1017" xr:uid="{00000000-0005-0000-0000-00004D030000}"/>
    <cellStyle name="40% - Ênfase4 25" xfId="1018" xr:uid="{00000000-0005-0000-0000-00004E030000}"/>
    <cellStyle name="40% - Ênfase4 25 2" xfId="1019" xr:uid="{00000000-0005-0000-0000-00004F030000}"/>
    <cellStyle name="40% - Ênfase4 26" xfId="1020" xr:uid="{00000000-0005-0000-0000-000050030000}"/>
    <cellStyle name="40% - Ênfase4 26 2" xfId="1021" xr:uid="{00000000-0005-0000-0000-000051030000}"/>
    <cellStyle name="40% - Ênfase4 27" xfId="1022" xr:uid="{00000000-0005-0000-0000-000052030000}"/>
    <cellStyle name="40% - Ênfase4 27 2" xfId="1023" xr:uid="{00000000-0005-0000-0000-000053030000}"/>
    <cellStyle name="40% - Ênfase4 28" xfId="1024" xr:uid="{00000000-0005-0000-0000-000054030000}"/>
    <cellStyle name="40% - Ênfase4 28 2" xfId="1025" xr:uid="{00000000-0005-0000-0000-000055030000}"/>
    <cellStyle name="40% - Ênfase4 29" xfId="1026" xr:uid="{00000000-0005-0000-0000-000056030000}"/>
    <cellStyle name="40% - Ênfase4 29 2" xfId="1027" xr:uid="{00000000-0005-0000-0000-000057030000}"/>
    <cellStyle name="40% - Ênfase4 3" xfId="1028" xr:uid="{00000000-0005-0000-0000-000058030000}"/>
    <cellStyle name="40% - Ênfase4 3 2" xfId="1029" xr:uid="{00000000-0005-0000-0000-000059030000}"/>
    <cellStyle name="40% - Ênfase4 30" xfId="1030" xr:uid="{00000000-0005-0000-0000-00005A030000}"/>
    <cellStyle name="40% - Ênfase4 30 2" xfId="1031" xr:uid="{00000000-0005-0000-0000-00005B030000}"/>
    <cellStyle name="40% - Ênfase4 31" xfId="1032" xr:uid="{00000000-0005-0000-0000-00005C030000}"/>
    <cellStyle name="40% - Ênfase4 31 2" xfId="1033" xr:uid="{00000000-0005-0000-0000-00005D030000}"/>
    <cellStyle name="40% - Ênfase4 32" xfId="1034" xr:uid="{00000000-0005-0000-0000-00005E030000}"/>
    <cellStyle name="40% - Ênfase4 32 2" xfId="1035" xr:uid="{00000000-0005-0000-0000-00005F030000}"/>
    <cellStyle name="40% - Ênfase4 33" xfId="1036" xr:uid="{00000000-0005-0000-0000-000060030000}"/>
    <cellStyle name="40% - Ênfase4 33 2" xfId="1037" xr:uid="{00000000-0005-0000-0000-000061030000}"/>
    <cellStyle name="40% - Ênfase4 34" xfId="1038" xr:uid="{00000000-0005-0000-0000-000062030000}"/>
    <cellStyle name="40% - Ênfase4 34 2" xfId="1039" xr:uid="{00000000-0005-0000-0000-000063030000}"/>
    <cellStyle name="40% - Ênfase4 35" xfId="1040" xr:uid="{00000000-0005-0000-0000-000064030000}"/>
    <cellStyle name="40% - Ênfase4 35 2" xfId="1041" xr:uid="{00000000-0005-0000-0000-000065030000}"/>
    <cellStyle name="40% - Ênfase4 36" xfId="1042" xr:uid="{00000000-0005-0000-0000-000066030000}"/>
    <cellStyle name="40% - Ênfase4 36 2" xfId="1043" xr:uid="{00000000-0005-0000-0000-000067030000}"/>
    <cellStyle name="40% - Ênfase4 37" xfId="1044" xr:uid="{00000000-0005-0000-0000-000068030000}"/>
    <cellStyle name="40% - Ênfase4 37 2" xfId="1045" xr:uid="{00000000-0005-0000-0000-000069030000}"/>
    <cellStyle name="40% - Ênfase4 4" xfId="1046" xr:uid="{00000000-0005-0000-0000-00006A030000}"/>
    <cellStyle name="40% - Ênfase4 4 2" xfId="1047" xr:uid="{00000000-0005-0000-0000-00006B030000}"/>
    <cellStyle name="40% - Ênfase4 5" xfId="1048" xr:uid="{00000000-0005-0000-0000-00006C030000}"/>
    <cellStyle name="40% - Ênfase4 5 2" xfId="1049" xr:uid="{00000000-0005-0000-0000-00006D030000}"/>
    <cellStyle name="40% - Ênfase4 6" xfId="1050" xr:uid="{00000000-0005-0000-0000-00006E030000}"/>
    <cellStyle name="40% - Ênfase4 6 2" xfId="1051" xr:uid="{00000000-0005-0000-0000-00006F030000}"/>
    <cellStyle name="40% - Ênfase4 7" xfId="1052" xr:uid="{00000000-0005-0000-0000-000070030000}"/>
    <cellStyle name="40% - Ênfase4 7 2" xfId="1053" xr:uid="{00000000-0005-0000-0000-000071030000}"/>
    <cellStyle name="40% - Ênfase4 8" xfId="1054" xr:uid="{00000000-0005-0000-0000-000072030000}"/>
    <cellStyle name="40% - Ênfase4 8 2" xfId="1055" xr:uid="{00000000-0005-0000-0000-000073030000}"/>
    <cellStyle name="40% - Ênfase4 9" xfId="1056" xr:uid="{00000000-0005-0000-0000-000074030000}"/>
    <cellStyle name="40% - Ênfase4 9 2" xfId="1057" xr:uid="{00000000-0005-0000-0000-000075030000}"/>
    <cellStyle name="40% - Ênfase5 10" xfId="1058" xr:uid="{00000000-0005-0000-0000-000076030000}"/>
    <cellStyle name="40% - Ênfase5 10 2" xfId="1059" xr:uid="{00000000-0005-0000-0000-000077030000}"/>
    <cellStyle name="40% - Ênfase5 11" xfId="1060" xr:uid="{00000000-0005-0000-0000-000078030000}"/>
    <cellStyle name="40% - Ênfase5 11 2" xfId="1061" xr:uid="{00000000-0005-0000-0000-000079030000}"/>
    <cellStyle name="40% - Ênfase5 12" xfId="1062" xr:uid="{00000000-0005-0000-0000-00007A030000}"/>
    <cellStyle name="40% - Ênfase5 12 2" xfId="1063" xr:uid="{00000000-0005-0000-0000-00007B030000}"/>
    <cellStyle name="40% - Ênfase5 13" xfId="1064" xr:uid="{00000000-0005-0000-0000-00007C030000}"/>
    <cellStyle name="40% - Ênfase5 13 2" xfId="1065" xr:uid="{00000000-0005-0000-0000-00007D030000}"/>
    <cellStyle name="40% - Ênfase5 14" xfId="1066" xr:uid="{00000000-0005-0000-0000-00007E030000}"/>
    <cellStyle name="40% - Ênfase5 14 2" xfId="1067" xr:uid="{00000000-0005-0000-0000-00007F030000}"/>
    <cellStyle name="40% - Ênfase5 15" xfId="1068" xr:uid="{00000000-0005-0000-0000-000080030000}"/>
    <cellStyle name="40% - Ênfase5 15 2" xfId="1069" xr:uid="{00000000-0005-0000-0000-000081030000}"/>
    <cellStyle name="40% - Ênfase5 16" xfId="1070" xr:uid="{00000000-0005-0000-0000-000082030000}"/>
    <cellStyle name="40% - Ênfase5 16 2" xfId="1071" xr:uid="{00000000-0005-0000-0000-000083030000}"/>
    <cellStyle name="40% - Ênfase5 17" xfId="1072" xr:uid="{00000000-0005-0000-0000-000084030000}"/>
    <cellStyle name="40% - Ênfase5 17 2" xfId="1073" xr:uid="{00000000-0005-0000-0000-000085030000}"/>
    <cellStyle name="40% - Ênfase5 18" xfId="1074" xr:uid="{00000000-0005-0000-0000-000086030000}"/>
    <cellStyle name="40% - Ênfase5 18 2" xfId="1075" xr:uid="{00000000-0005-0000-0000-000087030000}"/>
    <cellStyle name="40% - Ênfase5 19" xfId="1076" xr:uid="{00000000-0005-0000-0000-000088030000}"/>
    <cellStyle name="40% - Ênfase5 19 2" xfId="1077" xr:uid="{00000000-0005-0000-0000-000089030000}"/>
    <cellStyle name="40% - Ênfase5 2" xfId="1078" xr:uid="{00000000-0005-0000-0000-00008A030000}"/>
    <cellStyle name="40% - Ênfase5 2 2" xfId="1079" xr:uid="{00000000-0005-0000-0000-00008B030000}"/>
    <cellStyle name="40% - Ênfase5 2 2 2" xfId="1080" xr:uid="{00000000-0005-0000-0000-00008C030000}"/>
    <cellStyle name="40% - Ênfase5 20" xfId="1081" xr:uid="{00000000-0005-0000-0000-00008D030000}"/>
    <cellStyle name="40% - Ênfase5 20 2" xfId="1082" xr:uid="{00000000-0005-0000-0000-00008E030000}"/>
    <cellStyle name="40% - Ênfase5 21" xfId="1083" xr:uid="{00000000-0005-0000-0000-00008F030000}"/>
    <cellStyle name="40% - Ênfase5 21 2" xfId="1084" xr:uid="{00000000-0005-0000-0000-000090030000}"/>
    <cellStyle name="40% - Ênfase5 22" xfId="1085" xr:uid="{00000000-0005-0000-0000-000091030000}"/>
    <cellStyle name="40% - Ênfase5 22 2" xfId="1086" xr:uid="{00000000-0005-0000-0000-000092030000}"/>
    <cellStyle name="40% - Ênfase5 23" xfId="1087" xr:uid="{00000000-0005-0000-0000-000093030000}"/>
    <cellStyle name="40% - Ênfase5 23 2" xfId="1088" xr:uid="{00000000-0005-0000-0000-000094030000}"/>
    <cellStyle name="40% - Ênfase5 24" xfId="1089" xr:uid="{00000000-0005-0000-0000-000095030000}"/>
    <cellStyle name="40% - Ênfase5 24 2" xfId="1090" xr:uid="{00000000-0005-0000-0000-000096030000}"/>
    <cellStyle name="40% - Ênfase5 25" xfId="1091" xr:uid="{00000000-0005-0000-0000-000097030000}"/>
    <cellStyle name="40% - Ênfase5 25 2" xfId="1092" xr:uid="{00000000-0005-0000-0000-000098030000}"/>
    <cellStyle name="40% - Ênfase5 26" xfId="1093" xr:uid="{00000000-0005-0000-0000-000099030000}"/>
    <cellStyle name="40% - Ênfase5 26 2" xfId="1094" xr:uid="{00000000-0005-0000-0000-00009A030000}"/>
    <cellStyle name="40% - Ênfase5 27" xfId="1095" xr:uid="{00000000-0005-0000-0000-00009B030000}"/>
    <cellStyle name="40% - Ênfase5 27 2" xfId="1096" xr:uid="{00000000-0005-0000-0000-00009C030000}"/>
    <cellStyle name="40% - Ênfase5 28" xfId="1097" xr:uid="{00000000-0005-0000-0000-00009D030000}"/>
    <cellStyle name="40% - Ênfase5 28 2" xfId="1098" xr:uid="{00000000-0005-0000-0000-00009E030000}"/>
    <cellStyle name="40% - Ênfase5 29" xfId="1099" xr:uid="{00000000-0005-0000-0000-00009F030000}"/>
    <cellStyle name="40% - Ênfase5 29 2" xfId="1100" xr:uid="{00000000-0005-0000-0000-0000A0030000}"/>
    <cellStyle name="40% - Ênfase5 3" xfId="1101" xr:uid="{00000000-0005-0000-0000-0000A1030000}"/>
    <cellStyle name="40% - Ênfase5 3 2" xfId="1102" xr:uid="{00000000-0005-0000-0000-0000A2030000}"/>
    <cellStyle name="40% - Ênfase5 30" xfId="1103" xr:uid="{00000000-0005-0000-0000-0000A3030000}"/>
    <cellStyle name="40% - Ênfase5 30 2" xfId="1104" xr:uid="{00000000-0005-0000-0000-0000A4030000}"/>
    <cellStyle name="40% - Ênfase5 31" xfId="1105" xr:uid="{00000000-0005-0000-0000-0000A5030000}"/>
    <cellStyle name="40% - Ênfase5 31 2" xfId="1106" xr:uid="{00000000-0005-0000-0000-0000A6030000}"/>
    <cellStyle name="40% - Ênfase5 32" xfId="1107" xr:uid="{00000000-0005-0000-0000-0000A7030000}"/>
    <cellStyle name="40% - Ênfase5 32 2" xfId="1108" xr:uid="{00000000-0005-0000-0000-0000A8030000}"/>
    <cellStyle name="40% - Ênfase5 33" xfId="1109" xr:uid="{00000000-0005-0000-0000-0000A9030000}"/>
    <cellStyle name="40% - Ênfase5 33 2" xfId="1110" xr:uid="{00000000-0005-0000-0000-0000AA030000}"/>
    <cellStyle name="40% - Ênfase5 34" xfId="1111" xr:uid="{00000000-0005-0000-0000-0000AB030000}"/>
    <cellStyle name="40% - Ênfase5 34 2" xfId="1112" xr:uid="{00000000-0005-0000-0000-0000AC030000}"/>
    <cellStyle name="40% - Ênfase5 35" xfId="1113" xr:uid="{00000000-0005-0000-0000-0000AD030000}"/>
    <cellStyle name="40% - Ênfase5 35 2" xfId="1114" xr:uid="{00000000-0005-0000-0000-0000AE030000}"/>
    <cellStyle name="40% - Ênfase5 36" xfId="1115" xr:uid="{00000000-0005-0000-0000-0000AF030000}"/>
    <cellStyle name="40% - Ênfase5 36 2" xfId="1116" xr:uid="{00000000-0005-0000-0000-0000B0030000}"/>
    <cellStyle name="40% - Ênfase5 37" xfId="1117" xr:uid="{00000000-0005-0000-0000-0000B1030000}"/>
    <cellStyle name="40% - Ênfase5 37 2" xfId="1118" xr:uid="{00000000-0005-0000-0000-0000B2030000}"/>
    <cellStyle name="40% - Ênfase5 4" xfId="1119" xr:uid="{00000000-0005-0000-0000-0000B3030000}"/>
    <cellStyle name="40% - Ênfase5 4 2" xfId="1120" xr:uid="{00000000-0005-0000-0000-0000B4030000}"/>
    <cellStyle name="40% - Ênfase5 5" xfId="1121" xr:uid="{00000000-0005-0000-0000-0000B5030000}"/>
    <cellStyle name="40% - Ênfase5 5 2" xfId="1122" xr:uid="{00000000-0005-0000-0000-0000B6030000}"/>
    <cellStyle name="40% - Ênfase5 6" xfId="1123" xr:uid="{00000000-0005-0000-0000-0000B7030000}"/>
    <cellStyle name="40% - Ênfase5 6 2" xfId="1124" xr:uid="{00000000-0005-0000-0000-0000B8030000}"/>
    <cellStyle name="40% - Ênfase5 7" xfId="1125" xr:uid="{00000000-0005-0000-0000-0000B9030000}"/>
    <cellStyle name="40% - Ênfase5 7 2" xfId="1126" xr:uid="{00000000-0005-0000-0000-0000BA030000}"/>
    <cellStyle name="40% - Ênfase5 8" xfId="1127" xr:uid="{00000000-0005-0000-0000-0000BB030000}"/>
    <cellStyle name="40% - Ênfase5 8 2" xfId="1128" xr:uid="{00000000-0005-0000-0000-0000BC030000}"/>
    <cellStyle name="40% - Ênfase5 9" xfId="1129" xr:uid="{00000000-0005-0000-0000-0000BD030000}"/>
    <cellStyle name="40% - Ênfase5 9 2" xfId="1130" xr:uid="{00000000-0005-0000-0000-0000BE030000}"/>
    <cellStyle name="40% - Ênfase6 10" xfId="1131" xr:uid="{00000000-0005-0000-0000-0000BF030000}"/>
    <cellStyle name="40% - Ênfase6 10 2" xfId="1132" xr:uid="{00000000-0005-0000-0000-0000C0030000}"/>
    <cellStyle name="40% - Ênfase6 10 2 2" xfId="1133" xr:uid="{00000000-0005-0000-0000-0000C1030000}"/>
    <cellStyle name="40% - Ênfase6 10 3" xfId="1134" xr:uid="{00000000-0005-0000-0000-0000C2030000}"/>
    <cellStyle name="40% - Ênfase6 11" xfId="1135" xr:uid="{00000000-0005-0000-0000-0000C3030000}"/>
    <cellStyle name="40% - Ênfase6 11 2" xfId="1136" xr:uid="{00000000-0005-0000-0000-0000C4030000}"/>
    <cellStyle name="40% - Ênfase6 11 2 2" xfId="1137" xr:uid="{00000000-0005-0000-0000-0000C5030000}"/>
    <cellStyle name="40% - Ênfase6 11 3" xfId="1138" xr:uid="{00000000-0005-0000-0000-0000C6030000}"/>
    <cellStyle name="40% - Ênfase6 12" xfId="1139" xr:uid="{00000000-0005-0000-0000-0000C7030000}"/>
    <cellStyle name="40% - Ênfase6 12 2" xfId="1140" xr:uid="{00000000-0005-0000-0000-0000C8030000}"/>
    <cellStyle name="40% - Ênfase6 12 2 2" xfId="1141" xr:uid="{00000000-0005-0000-0000-0000C9030000}"/>
    <cellStyle name="40% - Ênfase6 12 3" xfId="1142" xr:uid="{00000000-0005-0000-0000-0000CA030000}"/>
    <cellStyle name="40% - Ênfase6 13" xfId="1143" xr:uid="{00000000-0005-0000-0000-0000CB030000}"/>
    <cellStyle name="40% - Ênfase6 13 2" xfId="1144" xr:uid="{00000000-0005-0000-0000-0000CC030000}"/>
    <cellStyle name="40% - Ênfase6 13 2 2" xfId="1145" xr:uid="{00000000-0005-0000-0000-0000CD030000}"/>
    <cellStyle name="40% - Ênfase6 13 3" xfId="1146" xr:uid="{00000000-0005-0000-0000-0000CE030000}"/>
    <cellStyle name="40% - Ênfase6 14" xfId="1147" xr:uid="{00000000-0005-0000-0000-0000CF030000}"/>
    <cellStyle name="40% - Ênfase6 14 2" xfId="1148" xr:uid="{00000000-0005-0000-0000-0000D0030000}"/>
    <cellStyle name="40% - Ênfase6 14 2 2" xfId="1149" xr:uid="{00000000-0005-0000-0000-0000D1030000}"/>
    <cellStyle name="40% - Ênfase6 14 3" xfId="1150" xr:uid="{00000000-0005-0000-0000-0000D2030000}"/>
    <cellStyle name="40% - Ênfase6 15" xfId="1151" xr:uid="{00000000-0005-0000-0000-0000D3030000}"/>
    <cellStyle name="40% - Ênfase6 15 2" xfId="1152" xr:uid="{00000000-0005-0000-0000-0000D4030000}"/>
    <cellStyle name="40% - Ênfase6 15 2 2" xfId="1153" xr:uid="{00000000-0005-0000-0000-0000D5030000}"/>
    <cellStyle name="40% - Ênfase6 15 3" xfId="1154" xr:uid="{00000000-0005-0000-0000-0000D6030000}"/>
    <cellStyle name="40% - Ênfase6 16" xfId="1155" xr:uid="{00000000-0005-0000-0000-0000D7030000}"/>
    <cellStyle name="40% - Ênfase6 16 2" xfId="1156" xr:uid="{00000000-0005-0000-0000-0000D8030000}"/>
    <cellStyle name="40% - Ênfase6 16 2 2" xfId="1157" xr:uid="{00000000-0005-0000-0000-0000D9030000}"/>
    <cellStyle name="40% - Ênfase6 16 3" xfId="1158" xr:uid="{00000000-0005-0000-0000-0000DA030000}"/>
    <cellStyle name="40% - Ênfase6 17" xfId="1159" xr:uid="{00000000-0005-0000-0000-0000DB030000}"/>
    <cellStyle name="40% - Ênfase6 17 2" xfId="1160" xr:uid="{00000000-0005-0000-0000-0000DC030000}"/>
    <cellStyle name="40% - Ênfase6 17 2 2" xfId="1161" xr:uid="{00000000-0005-0000-0000-0000DD030000}"/>
    <cellStyle name="40% - Ênfase6 17 3" xfId="1162" xr:uid="{00000000-0005-0000-0000-0000DE030000}"/>
    <cellStyle name="40% - Ênfase6 18" xfId="1163" xr:uid="{00000000-0005-0000-0000-0000DF030000}"/>
    <cellStyle name="40% - Ênfase6 18 2" xfId="1164" xr:uid="{00000000-0005-0000-0000-0000E0030000}"/>
    <cellStyle name="40% - Ênfase6 18 2 2" xfId="1165" xr:uid="{00000000-0005-0000-0000-0000E1030000}"/>
    <cellStyle name="40% - Ênfase6 18 3" xfId="1166" xr:uid="{00000000-0005-0000-0000-0000E2030000}"/>
    <cellStyle name="40% - Ênfase6 19" xfId="1167" xr:uid="{00000000-0005-0000-0000-0000E3030000}"/>
    <cellStyle name="40% - Ênfase6 19 2" xfId="1168" xr:uid="{00000000-0005-0000-0000-0000E4030000}"/>
    <cellStyle name="40% - Ênfase6 19 2 2" xfId="1169" xr:uid="{00000000-0005-0000-0000-0000E5030000}"/>
    <cellStyle name="40% - Ênfase6 19 3" xfId="1170" xr:uid="{00000000-0005-0000-0000-0000E6030000}"/>
    <cellStyle name="40% - Ênfase6 2" xfId="1171" xr:uid="{00000000-0005-0000-0000-0000E7030000}"/>
    <cellStyle name="40% - Ênfase6 2 2" xfId="1172" xr:uid="{00000000-0005-0000-0000-0000E8030000}"/>
    <cellStyle name="40% - Ênfase6 2 2 2" xfId="1173" xr:uid="{00000000-0005-0000-0000-0000E9030000}"/>
    <cellStyle name="40% - Ênfase6 2 2 2 2" xfId="1174" xr:uid="{00000000-0005-0000-0000-0000EA030000}"/>
    <cellStyle name="40% - Ênfase6 2 2 3" xfId="1175" xr:uid="{00000000-0005-0000-0000-0000EB030000}"/>
    <cellStyle name="40% - Ênfase6 2 3" xfId="1176" xr:uid="{00000000-0005-0000-0000-0000EC030000}"/>
    <cellStyle name="40% - Ênfase6 20" xfId="1177" xr:uid="{00000000-0005-0000-0000-0000ED030000}"/>
    <cellStyle name="40% - Ênfase6 20 2" xfId="1178" xr:uid="{00000000-0005-0000-0000-0000EE030000}"/>
    <cellStyle name="40% - Ênfase6 20 2 2" xfId="1179" xr:uid="{00000000-0005-0000-0000-0000EF030000}"/>
    <cellStyle name="40% - Ênfase6 20 3" xfId="1180" xr:uid="{00000000-0005-0000-0000-0000F0030000}"/>
    <cellStyle name="40% - Ênfase6 21" xfId="1181" xr:uid="{00000000-0005-0000-0000-0000F1030000}"/>
    <cellStyle name="40% - Ênfase6 21 2" xfId="1182" xr:uid="{00000000-0005-0000-0000-0000F2030000}"/>
    <cellStyle name="40% - Ênfase6 21 2 2" xfId="1183" xr:uid="{00000000-0005-0000-0000-0000F3030000}"/>
    <cellStyle name="40% - Ênfase6 21 3" xfId="1184" xr:uid="{00000000-0005-0000-0000-0000F4030000}"/>
    <cellStyle name="40% - Ênfase6 22" xfId="1185" xr:uid="{00000000-0005-0000-0000-0000F5030000}"/>
    <cellStyle name="40% - Ênfase6 22 2" xfId="1186" xr:uid="{00000000-0005-0000-0000-0000F6030000}"/>
    <cellStyle name="40% - Ênfase6 22 2 2" xfId="1187" xr:uid="{00000000-0005-0000-0000-0000F7030000}"/>
    <cellStyle name="40% - Ênfase6 22 3" xfId="1188" xr:uid="{00000000-0005-0000-0000-0000F8030000}"/>
    <cellStyle name="40% - Ênfase6 23" xfId="1189" xr:uid="{00000000-0005-0000-0000-0000F9030000}"/>
    <cellStyle name="40% - Ênfase6 23 2" xfId="1190" xr:uid="{00000000-0005-0000-0000-0000FA030000}"/>
    <cellStyle name="40% - Ênfase6 23 2 2" xfId="1191" xr:uid="{00000000-0005-0000-0000-0000FB030000}"/>
    <cellStyle name="40% - Ênfase6 23 3" xfId="1192" xr:uid="{00000000-0005-0000-0000-0000FC030000}"/>
    <cellStyle name="40% - Ênfase6 24" xfId="1193" xr:uid="{00000000-0005-0000-0000-0000FD030000}"/>
    <cellStyle name="40% - Ênfase6 24 2" xfId="1194" xr:uid="{00000000-0005-0000-0000-0000FE030000}"/>
    <cellStyle name="40% - Ênfase6 24 2 2" xfId="1195" xr:uid="{00000000-0005-0000-0000-0000FF030000}"/>
    <cellStyle name="40% - Ênfase6 24 3" xfId="1196" xr:uid="{00000000-0005-0000-0000-000000040000}"/>
    <cellStyle name="40% - Ênfase6 25" xfId="1197" xr:uid="{00000000-0005-0000-0000-000001040000}"/>
    <cellStyle name="40% - Ênfase6 25 2" xfId="1198" xr:uid="{00000000-0005-0000-0000-000002040000}"/>
    <cellStyle name="40% - Ênfase6 25 2 2" xfId="1199" xr:uid="{00000000-0005-0000-0000-000003040000}"/>
    <cellStyle name="40% - Ênfase6 25 3" xfId="1200" xr:uid="{00000000-0005-0000-0000-000004040000}"/>
    <cellStyle name="40% - Ênfase6 26" xfId="1201" xr:uid="{00000000-0005-0000-0000-000005040000}"/>
    <cellStyle name="40% - Ênfase6 26 2" xfId="1202" xr:uid="{00000000-0005-0000-0000-000006040000}"/>
    <cellStyle name="40% - Ênfase6 26 2 2" xfId="1203" xr:uid="{00000000-0005-0000-0000-000007040000}"/>
    <cellStyle name="40% - Ênfase6 26 3" xfId="1204" xr:uid="{00000000-0005-0000-0000-000008040000}"/>
    <cellStyle name="40% - Ênfase6 27" xfId="1205" xr:uid="{00000000-0005-0000-0000-000009040000}"/>
    <cellStyle name="40% - Ênfase6 27 2" xfId="1206" xr:uid="{00000000-0005-0000-0000-00000A040000}"/>
    <cellStyle name="40% - Ênfase6 27 2 2" xfId="1207" xr:uid="{00000000-0005-0000-0000-00000B040000}"/>
    <cellStyle name="40% - Ênfase6 27 3" xfId="1208" xr:uid="{00000000-0005-0000-0000-00000C040000}"/>
    <cellStyle name="40% - Ênfase6 28" xfId="1209" xr:uid="{00000000-0005-0000-0000-00000D040000}"/>
    <cellStyle name="40% - Ênfase6 28 2" xfId="1210" xr:uid="{00000000-0005-0000-0000-00000E040000}"/>
    <cellStyle name="40% - Ênfase6 28 2 2" xfId="1211" xr:uid="{00000000-0005-0000-0000-00000F040000}"/>
    <cellStyle name="40% - Ênfase6 28 3" xfId="1212" xr:uid="{00000000-0005-0000-0000-000010040000}"/>
    <cellStyle name="40% - Ênfase6 29" xfId="1213" xr:uid="{00000000-0005-0000-0000-000011040000}"/>
    <cellStyle name="40% - Ênfase6 29 2" xfId="1214" xr:uid="{00000000-0005-0000-0000-000012040000}"/>
    <cellStyle name="40% - Ênfase6 29 2 2" xfId="1215" xr:uid="{00000000-0005-0000-0000-000013040000}"/>
    <cellStyle name="40% - Ênfase6 29 3" xfId="1216" xr:uid="{00000000-0005-0000-0000-000014040000}"/>
    <cellStyle name="40% - Ênfase6 3" xfId="1217" xr:uid="{00000000-0005-0000-0000-000015040000}"/>
    <cellStyle name="40% - Ênfase6 3 2" xfId="1218" xr:uid="{00000000-0005-0000-0000-000016040000}"/>
    <cellStyle name="40% - Ênfase6 3 2 2" xfId="1219" xr:uid="{00000000-0005-0000-0000-000017040000}"/>
    <cellStyle name="40% - Ênfase6 3 3" xfId="1220" xr:uid="{00000000-0005-0000-0000-000018040000}"/>
    <cellStyle name="40% - Ênfase6 30" xfId="1221" xr:uid="{00000000-0005-0000-0000-000019040000}"/>
    <cellStyle name="40% - Ênfase6 30 2" xfId="1222" xr:uid="{00000000-0005-0000-0000-00001A040000}"/>
    <cellStyle name="40% - Ênfase6 30 2 2" xfId="1223" xr:uid="{00000000-0005-0000-0000-00001B040000}"/>
    <cellStyle name="40% - Ênfase6 30 3" xfId="1224" xr:uid="{00000000-0005-0000-0000-00001C040000}"/>
    <cellStyle name="40% - Ênfase6 31" xfId="1225" xr:uid="{00000000-0005-0000-0000-00001D040000}"/>
    <cellStyle name="40% - Ênfase6 31 2" xfId="1226" xr:uid="{00000000-0005-0000-0000-00001E040000}"/>
    <cellStyle name="40% - Ênfase6 31 2 2" xfId="1227" xr:uid="{00000000-0005-0000-0000-00001F040000}"/>
    <cellStyle name="40% - Ênfase6 31 3" xfId="1228" xr:uid="{00000000-0005-0000-0000-000020040000}"/>
    <cellStyle name="40% - Ênfase6 32" xfId="1229" xr:uid="{00000000-0005-0000-0000-000021040000}"/>
    <cellStyle name="40% - Ênfase6 32 2" xfId="1230" xr:uid="{00000000-0005-0000-0000-000022040000}"/>
    <cellStyle name="40% - Ênfase6 32 2 2" xfId="1231" xr:uid="{00000000-0005-0000-0000-000023040000}"/>
    <cellStyle name="40% - Ênfase6 32 3" xfId="1232" xr:uid="{00000000-0005-0000-0000-000024040000}"/>
    <cellStyle name="40% - Ênfase6 33" xfId="1233" xr:uid="{00000000-0005-0000-0000-000025040000}"/>
    <cellStyle name="40% - Ênfase6 33 2" xfId="1234" xr:uid="{00000000-0005-0000-0000-000026040000}"/>
    <cellStyle name="40% - Ênfase6 33 2 2" xfId="1235" xr:uid="{00000000-0005-0000-0000-000027040000}"/>
    <cellStyle name="40% - Ênfase6 33 3" xfId="1236" xr:uid="{00000000-0005-0000-0000-000028040000}"/>
    <cellStyle name="40% - Ênfase6 34" xfId="1237" xr:uid="{00000000-0005-0000-0000-000029040000}"/>
    <cellStyle name="40% - Ênfase6 34 2" xfId="1238" xr:uid="{00000000-0005-0000-0000-00002A040000}"/>
    <cellStyle name="40% - Ênfase6 34 2 2" xfId="1239" xr:uid="{00000000-0005-0000-0000-00002B040000}"/>
    <cellStyle name="40% - Ênfase6 34 3" xfId="1240" xr:uid="{00000000-0005-0000-0000-00002C040000}"/>
    <cellStyle name="40% - Ênfase6 35" xfId="1241" xr:uid="{00000000-0005-0000-0000-00002D040000}"/>
    <cellStyle name="40% - Ênfase6 35 2" xfId="1242" xr:uid="{00000000-0005-0000-0000-00002E040000}"/>
    <cellStyle name="40% - Ênfase6 35 2 2" xfId="1243" xr:uid="{00000000-0005-0000-0000-00002F040000}"/>
    <cellStyle name="40% - Ênfase6 35 3" xfId="1244" xr:uid="{00000000-0005-0000-0000-000030040000}"/>
    <cellStyle name="40% - Ênfase6 36" xfId="1245" xr:uid="{00000000-0005-0000-0000-000031040000}"/>
    <cellStyle name="40% - Ênfase6 36 2" xfId="1246" xr:uid="{00000000-0005-0000-0000-000032040000}"/>
    <cellStyle name="40% - Ênfase6 36 2 2" xfId="1247" xr:uid="{00000000-0005-0000-0000-000033040000}"/>
    <cellStyle name="40% - Ênfase6 36 3" xfId="1248" xr:uid="{00000000-0005-0000-0000-000034040000}"/>
    <cellStyle name="40% - Ênfase6 37" xfId="1249" xr:uid="{00000000-0005-0000-0000-000035040000}"/>
    <cellStyle name="40% - Ênfase6 37 2" xfId="1250" xr:uid="{00000000-0005-0000-0000-000036040000}"/>
    <cellStyle name="40% - Ênfase6 37 2 2" xfId="1251" xr:uid="{00000000-0005-0000-0000-000037040000}"/>
    <cellStyle name="40% - Ênfase6 37 3" xfId="1252" xr:uid="{00000000-0005-0000-0000-000038040000}"/>
    <cellStyle name="40% - Ênfase6 4" xfId="1253" xr:uid="{00000000-0005-0000-0000-000039040000}"/>
    <cellStyle name="40% - Ênfase6 4 2" xfId="1254" xr:uid="{00000000-0005-0000-0000-00003A040000}"/>
    <cellStyle name="40% - Ênfase6 4 2 2" xfId="1255" xr:uid="{00000000-0005-0000-0000-00003B040000}"/>
    <cellStyle name="40% - Ênfase6 4 3" xfId="1256" xr:uid="{00000000-0005-0000-0000-00003C040000}"/>
    <cellStyle name="40% - Ênfase6 5" xfId="1257" xr:uid="{00000000-0005-0000-0000-00003D040000}"/>
    <cellStyle name="40% - Ênfase6 5 2" xfId="1258" xr:uid="{00000000-0005-0000-0000-00003E040000}"/>
    <cellStyle name="40% - Ênfase6 5 2 2" xfId="1259" xr:uid="{00000000-0005-0000-0000-00003F040000}"/>
    <cellStyle name="40% - Ênfase6 5 3" xfId="1260" xr:uid="{00000000-0005-0000-0000-000040040000}"/>
    <cellStyle name="40% - Ênfase6 6" xfId="1261" xr:uid="{00000000-0005-0000-0000-000041040000}"/>
    <cellStyle name="40% - Ênfase6 6 2" xfId="1262" xr:uid="{00000000-0005-0000-0000-000042040000}"/>
    <cellStyle name="40% - Ênfase6 6 2 2" xfId="1263" xr:uid="{00000000-0005-0000-0000-000043040000}"/>
    <cellStyle name="40% - Ênfase6 6 3" xfId="1264" xr:uid="{00000000-0005-0000-0000-000044040000}"/>
    <cellStyle name="40% - Ênfase6 7" xfId="1265" xr:uid="{00000000-0005-0000-0000-000045040000}"/>
    <cellStyle name="40% - Ênfase6 7 2" xfId="1266" xr:uid="{00000000-0005-0000-0000-000046040000}"/>
    <cellStyle name="40% - Ênfase6 7 2 2" xfId="1267" xr:uid="{00000000-0005-0000-0000-000047040000}"/>
    <cellStyle name="40% - Ênfase6 7 3" xfId="1268" xr:uid="{00000000-0005-0000-0000-000048040000}"/>
    <cellStyle name="40% - Ênfase6 8" xfId="1269" xr:uid="{00000000-0005-0000-0000-000049040000}"/>
    <cellStyle name="40% - Ênfase6 8 2" xfId="1270" xr:uid="{00000000-0005-0000-0000-00004A040000}"/>
    <cellStyle name="40% - Ênfase6 8 2 2" xfId="1271" xr:uid="{00000000-0005-0000-0000-00004B040000}"/>
    <cellStyle name="40% - Ênfase6 8 3" xfId="1272" xr:uid="{00000000-0005-0000-0000-00004C040000}"/>
    <cellStyle name="40% - Ênfase6 9" xfId="1273" xr:uid="{00000000-0005-0000-0000-00004D040000}"/>
    <cellStyle name="40% - Ênfase6 9 2" xfId="1274" xr:uid="{00000000-0005-0000-0000-00004E040000}"/>
    <cellStyle name="40% - Ênfase6 9 2 2" xfId="1275" xr:uid="{00000000-0005-0000-0000-00004F040000}"/>
    <cellStyle name="40% - Ênfase6 9 3" xfId="1276" xr:uid="{00000000-0005-0000-0000-000050040000}"/>
    <cellStyle name="60% - Accent1" xfId="57" xr:uid="{00000000-0005-0000-0000-000051040000}"/>
    <cellStyle name="60% - Accent2" xfId="58" xr:uid="{00000000-0005-0000-0000-000052040000}"/>
    <cellStyle name="60% - Accent3" xfId="59" xr:uid="{00000000-0005-0000-0000-000053040000}"/>
    <cellStyle name="60% - Accent4" xfId="60" xr:uid="{00000000-0005-0000-0000-000054040000}"/>
    <cellStyle name="60% - Accent5" xfId="61" xr:uid="{00000000-0005-0000-0000-000055040000}"/>
    <cellStyle name="60% - Accent6" xfId="62" xr:uid="{00000000-0005-0000-0000-000056040000}"/>
    <cellStyle name="60% - Ênfase1 10" xfId="1277" xr:uid="{00000000-0005-0000-0000-000057040000}"/>
    <cellStyle name="60% - Ênfase1 10 2" xfId="1278" xr:uid="{00000000-0005-0000-0000-000058040000}"/>
    <cellStyle name="60% - Ênfase1 11" xfId="1279" xr:uid="{00000000-0005-0000-0000-000059040000}"/>
    <cellStyle name="60% - Ênfase1 11 2" xfId="1280" xr:uid="{00000000-0005-0000-0000-00005A040000}"/>
    <cellStyle name="60% - Ênfase1 12" xfId="1281" xr:uid="{00000000-0005-0000-0000-00005B040000}"/>
    <cellStyle name="60% - Ênfase1 12 2" xfId="1282" xr:uid="{00000000-0005-0000-0000-00005C040000}"/>
    <cellStyle name="60% - Ênfase1 13" xfId="1283" xr:uid="{00000000-0005-0000-0000-00005D040000}"/>
    <cellStyle name="60% - Ênfase1 13 2" xfId="1284" xr:uid="{00000000-0005-0000-0000-00005E040000}"/>
    <cellStyle name="60% - Ênfase1 14" xfId="1285" xr:uid="{00000000-0005-0000-0000-00005F040000}"/>
    <cellStyle name="60% - Ênfase1 14 2" xfId="1286" xr:uid="{00000000-0005-0000-0000-000060040000}"/>
    <cellStyle name="60% - Ênfase1 15" xfId="1287" xr:uid="{00000000-0005-0000-0000-000061040000}"/>
    <cellStyle name="60% - Ênfase1 15 2" xfId="1288" xr:uid="{00000000-0005-0000-0000-000062040000}"/>
    <cellStyle name="60% - Ênfase1 16" xfId="1289" xr:uid="{00000000-0005-0000-0000-000063040000}"/>
    <cellStyle name="60% - Ênfase1 16 2" xfId="1290" xr:uid="{00000000-0005-0000-0000-000064040000}"/>
    <cellStyle name="60% - Ênfase1 17" xfId="1291" xr:uid="{00000000-0005-0000-0000-000065040000}"/>
    <cellStyle name="60% - Ênfase1 17 2" xfId="1292" xr:uid="{00000000-0005-0000-0000-000066040000}"/>
    <cellStyle name="60% - Ênfase1 18" xfId="1293" xr:uid="{00000000-0005-0000-0000-000067040000}"/>
    <cellStyle name="60% - Ênfase1 18 2" xfId="1294" xr:uid="{00000000-0005-0000-0000-000068040000}"/>
    <cellStyle name="60% - Ênfase1 19" xfId="1295" xr:uid="{00000000-0005-0000-0000-000069040000}"/>
    <cellStyle name="60% - Ênfase1 19 2" xfId="1296" xr:uid="{00000000-0005-0000-0000-00006A040000}"/>
    <cellStyle name="60% - Ênfase1 2" xfId="1297" xr:uid="{00000000-0005-0000-0000-00006B040000}"/>
    <cellStyle name="60% - Ênfase1 2 2" xfId="1298" xr:uid="{00000000-0005-0000-0000-00006C040000}"/>
    <cellStyle name="60% - Ênfase1 2 2 2" xfId="1299" xr:uid="{00000000-0005-0000-0000-00006D040000}"/>
    <cellStyle name="60% - Ênfase1 20" xfId="1300" xr:uid="{00000000-0005-0000-0000-00006E040000}"/>
    <cellStyle name="60% - Ênfase1 20 2" xfId="1301" xr:uid="{00000000-0005-0000-0000-00006F040000}"/>
    <cellStyle name="60% - Ênfase1 21" xfId="1302" xr:uid="{00000000-0005-0000-0000-000070040000}"/>
    <cellStyle name="60% - Ênfase1 21 2" xfId="1303" xr:uid="{00000000-0005-0000-0000-000071040000}"/>
    <cellStyle name="60% - Ênfase1 22" xfId="1304" xr:uid="{00000000-0005-0000-0000-000072040000}"/>
    <cellStyle name="60% - Ênfase1 22 2" xfId="1305" xr:uid="{00000000-0005-0000-0000-000073040000}"/>
    <cellStyle name="60% - Ênfase1 23" xfId="1306" xr:uid="{00000000-0005-0000-0000-000074040000}"/>
    <cellStyle name="60% - Ênfase1 23 2" xfId="1307" xr:uid="{00000000-0005-0000-0000-000075040000}"/>
    <cellStyle name="60% - Ênfase1 24" xfId="1308" xr:uid="{00000000-0005-0000-0000-000076040000}"/>
    <cellStyle name="60% - Ênfase1 24 2" xfId="1309" xr:uid="{00000000-0005-0000-0000-000077040000}"/>
    <cellStyle name="60% - Ênfase1 25" xfId="1310" xr:uid="{00000000-0005-0000-0000-000078040000}"/>
    <cellStyle name="60% - Ênfase1 25 2" xfId="1311" xr:uid="{00000000-0005-0000-0000-000079040000}"/>
    <cellStyle name="60% - Ênfase1 26" xfId="1312" xr:uid="{00000000-0005-0000-0000-00007A040000}"/>
    <cellStyle name="60% - Ênfase1 26 2" xfId="1313" xr:uid="{00000000-0005-0000-0000-00007B040000}"/>
    <cellStyle name="60% - Ênfase1 27" xfId="1314" xr:uid="{00000000-0005-0000-0000-00007C040000}"/>
    <cellStyle name="60% - Ênfase1 27 2" xfId="1315" xr:uid="{00000000-0005-0000-0000-00007D040000}"/>
    <cellStyle name="60% - Ênfase1 28" xfId="1316" xr:uid="{00000000-0005-0000-0000-00007E040000}"/>
    <cellStyle name="60% - Ênfase1 28 2" xfId="1317" xr:uid="{00000000-0005-0000-0000-00007F040000}"/>
    <cellStyle name="60% - Ênfase1 29" xfId="1318" xr:uid="{00000000-0005-0000-0000-000080040000}"/>
    <cellStyle name="60% - Ênfase1 29 2" xfId="1319" xr:uid="{00000000-0005-0000-0000-000081040000}"/>
    <cellStyle name="60% - Ênfase1 3" xfId="1320" xr:uid="{00000000-0005-0000-0000-000082040000}"/>
    <cellStyle name="60% - Ênfase1 3 2" xfId="1321" xr:uid="{00000000-0005-0000-0000-000083040000}"/>
    <cellStyle name="60% - Ênfase1 30" xfId="1322" xr:uid="{00000000-0005-0000-0000-000084040000}"/>
    <cellStyle name="60% - Ênfase1 30 2" xfId="1323" xr:uid="{00000000-0005-0000-0000-000085040000}"/>
    <cellStyle name="60% - Ênfase1 31" xfId="1324" xr:uid="{00000000-0005-0000-0000-000086040000}"/>
    <cellStyle name="60% - Ênfase1 31 2" xfId="1325" xr:uid="{00000000-0005-0000-0000-000087040000}"/>
    <cellStyle name="60% - Ênfase1 32" xfId="1326" xr:uid="{00000000-0005-0000-0000-000088040000}"/>
    <cellStyle name="60% - Ênfase1 32 2" xfId="1327" xr:uid="{00000000-0005-0000-0000-000089040000}"/>
    <cellStyle name="60% - Ênfase1 33" xfId="1328" xr:uid="{00000000-0005-0000-0000-00008A040000}"/>
    <cellStyle name="60% - Ênfase1 33 2" xfId="1329" xr:uid="{00000000-0005-0000-0000-00008B040000}"/>
    <cellStyle name="60% - Ênfase1 34" xfId="1330" xr:uid="{00000000-0005-0000-0000-00008C040000}"/>
    <cellStyle name="60% - Ênfase1 34 2" xfId="1331" xr:uid="{00000000-0005-0000-0000-00008D040000}"/>
    <cellStyle name="60% - Ênfase1 35" xfId="1332" xr:uid="{00000000-0005-0000-0000-00008E040000}"/>
    <cellStyle name="60% - Ênfase1 35 2" xfId="1333" xr:uid="{00000000-0005-0000-0000-00008F040000}"/>
    <cellStyle name="60% - Ênfase1 36" xfId="1334" xr:uid="{00000000-0005-0000-0000-000090040000}"/>
    <cellStyle name="60% - Ênfase1 36 2" xfId="1335" xr:uid="{00000000-0005-0000-0000-000091040000}"/>
    <cellStyle name="60% - Ênfase1 37" xfId="1336" xr:uid="{00000000-0005-0000-0000-000092040000}"/>
    <cellStyle name="60% - Ênfase1 37 2" xfId="1337" xr:uid="{00000000-0005-0000-0000-000093040000}"/>
    <cellStyle name="60% - Ênfase1 4" xfId="1338" xr:uid="{00000000-0005-0000-0000-000094040000}"/>
    <cellStyle name="60% - Ênfase1 4 2" xfId="1339" xr:uid="{00000000-0005-0000-0000-000095040000}"/>
    <cellStyle name="60% - Ênfase1 5" xfId="1340" xr:uid="{00000000-0005-0000-0000-000096040000}"/>
    <cellStyle name="60% - Ênfase1 5 2" xfId="1341" xr:uid="{00000000-0005-0000-0000-000097040000}"/>
    <cellStyle name="60% - Ênfase1 6" xfId="1342" xr:uid="{00000000-0005-0000-0000-000098040000}"/>
    <cellStyle name="60% - Ênfase1 6 2" xfId="1343" xr:uid="{00000000-0005-0000-0000-000099040000}"/>
    <cellStyle name="60% - Ênfase1 7" xfId="1344" xr:uid="{00000000-0005-0000-0000-00009A040000}"/>
    <cellStyle name="60% - Ênfase1 7 2" xfId="1345" xr:uid="{00000000-0005-0000-0000-00009B040000}"/>
    <cellStyle name="60% - Ênfase1 8" xfId="1346" xr:uid="{00000000-0005-0000-0000-00009C040000}"/>
    <cellStyle name="60% - Ênfase1 8 2" xfId="1347" xr:uid="{00000000-0005-0000-0000-00009D040000}"/>
    <cellStyle name="60% - Ênfase1 9" xfId="1348" xr:uid="{00000000-0005-0000-0000-00009E040000}"/>
    <cellStyle name="60% - Ênfase1 9 2" xfId="1349" xr:uid="{00000000-0005-0000-0000-00009F040000}"/>
    <cellStyle name="60% - Ênfase2 10" xfId="1350" xr:uid="{00000000-0005-0000-0000-0000A0040000}"/>
    <cellStyle name="60% - Ênfase2 10 2" xfId="1351" xr:uid="{00000000-0005-0000-0000-0000A1040000}"/>
    <cellStyle name="60% - Ênfase2 11" xfId="1352" xr:uid="{00000000-0005-0000-0000-0000A2040000}"/>
    <cellStyle name="60% - Ênfase2 11 2" xfId="1353" xr:uid="{00000000-0005-0000-0000-0000A3040000}"/>
    <cellStyle name="60% - Ênfase2 12" xfId="1354" xr:uid="{00000000-0005-0000-0000-0000A4040000}"/>
    <cellStyle name="60% - Ênfase2 12 2" xfId="1355" xr:uid="{00000000-0005-0000-0000-0000A5040000}"/>
    <cellStyle name="60% - Ênfase2 13" xfId="1356" xr:uid="{00000000-0005-0000-0000-0000A6040000}"/>
    <cellStyle name="60% - Ênfase2 13 2" xfId="1357" xr:uid="{00000000-0005-0000-0000-0000A7040000}"/>
    <cellStyle name="60% - Ênfase2 14" xfId="1358" xr:uid="{00000000-0005-0000-0000-0000A8040000}"/>
    <cellStyle name="60% - Ênfase2 14 2" xfId="1359" xr:uid="{00000000-0005-0000-0000-0000A9040000}"/>
    <cellStyle name="60% - Ênfase2 15" xfId="1360" xr:uid="{00000000-0005-0000-0000-0000AA040000}"/>
    <cellStyle name="60% - Ênfase2 15 2" xfId="1361" xr:uid="{00000000-0005-0000-0000-0000AB040000}"/>
    <cellStyle name="60% - Ênfase2 16" xfId="1362" xr:uid="{00000000-0005-0000-0000-0000AC040000}"/>
    <cellStyle name="60% - Ênfase2 16 2" xfId="1363" xr:uid="{00000000-0005-0000-0000-0000AD040000}"/>
    <cellStyle name="60% - Ênfase2 17" xfId="1364" xr:uid="{00000000-0005-0000-0000-0000AE040000}"/>
    <cellStyle name="60% - Ênfase2 17 2" xfId="1365" xr:uid="{00000000-0005-0000-0000-0000AF040000}"/>
    <cellStyle name="60% - Ênfase2 18" xfId="1366" xr:uid="{00000000-0005-0000-0000-0000B0040000}"/>
    <cellStyle name="60% - Ênfase2 18 2" xfId="1367" xr:uid="{00000000-0005-0000-0000-0000B1040000}"/>
    <cellStyle name="60% - Ênfase2 19" xfId="1368" xr:uid="{00000000-0005-0000-0000-0000B2040000}"/>
    <cellStyle name="60% - Ênfase2 19 2" xfId="1369" xr:uid="{00000000-0005-0000-0000-0000B3040000}"/>
    <cellStyle name="60% - Ênfase2 2" xfId="1370" xr:uid="{00000000-0005-0000-0000-0000B4040000}"/>
    <cellStyle name="60% - Ênfase2 2 2" xfId="1371" xr:uid="{00000000-0005-0000-0000-0000B5040000}"/>
    <cellStyle name="60% - Ênfase2 2 2 2" xfId="1372" xr:uid="{00000000-0005-0000-0000-0000B6040000}"/>
    <cellStyle name="60% - Ênfase2 20" xfId="1373" xr:uid="{00000000-0005-0000-0000-0000B7040000}"/>
    <cellStyle name="60% - Ênfase2 20 2" xfId="1374" xr:uid="{00000000-0005-0000-0000-0000B8040000}"/>
    <cellStyle name="60% - Ênfase2 21" xfId="1375" xr:uid="{00000000-0005-0000-0000-0000B9040000}"/>
    <cellStyle name="60% - Ênfase2 21 2" xfId="1376" xr:uid="{00000000-0005-0000-0000-0000BA040000}"/>
    <cellStyle name="60% - Ênfase2 22" xfId="1377" xr:uid="{00000000-0005-0000-0000-0000BB040000}"/>
    <cellStyle name="60% - Ênfase2 22 2" xfId="1378" xr:uid="{00000000-0005-0000-0000-0000BC040000}"/>
    <cellStyle name="60% - Ênfase2 23" xfId="1379" xr:uid="{00000000-0005-0000-0000-0000BD040000}"/>
    <cellStyle name="60% - Ênfase2 23 2" xfId="1380" xr:uid="{00000000-0005-0000-0000-0000BE040000}"/>
    <cellStyle name="60% - Ênfase2 24" xfId="1381" xr:uid="{00000000-0005-0000-0000-0000BF040000}"/>
    <cellStyle name="60% - Ênfase2 24 2" xfId="1382" xr:uid="{00000000-0005-0000-0000-0000C0040000}"/>
    <cellStyle name="60% - Ênfase2 25" xfId="1383" xr:uid="{00000000-0005-0000-0000-0000C1040000}"/>
    <cellStyle name="60% - Ênfase2 25 2" xfId="1384" xr:uid="{00000000-0005-0000-0000-0000C2040000}"/>
    <cellStyle name="60% - Ênfase2 26" xfId="1385" xr:uid="{00000000-0005-0000-0000-0000C3040000}"/>
    <cellStyle name="60% - Ênfase2 26 2" xfId="1386" xr:uid="{00000000-0005-0000-0000-0000C4040000}"/>
    <cellStyle name="60% - Ênfase2 27" xfId="1387" xr:uid="{00000000-0005-0000-0000-0000C5040000}"/>
    <cellStyle name="60% - Ênfase2 27 2" xfId="1388" xr:uid="{00000000-0005-0000-0000-0000C6040000}"/>
    <cellStyle name="60% - Ênfase2 28" xfId="1389" xr:uid="{00000000-0005-0000-0000-0000C7040000}"/>
    <cellStyle name="60% - Ênfase2 28 2" xfId="1390" xr:uid="{00000000-0005-0000-0000-0000C8040000}"/>
    <cellStyle name="60% - Ênfase2 29" xfId="1391" xr:uid="{00000000-0005-0000-0000-0000C9040000}"/>
    <cellStyle name="60% - Ênfase2 29 2" xfId="1392" xr:uid="{00000000-0005-0000-0000-0000CA040000}"/>
    <cellStyle name="60% - Ênfase2 3" xfId="1393" xr:uid="{00000000-0005-0000-0000-0000CB040000}"/>
    <cellStyle name="60% - Ênfase2 3 2" xfId="1394" xr:uid="{00000000-0005-0000-0000-0000CC040000}"/>
    <cellStyle name="60% - Ênfase2 30" xfId="1395" xr:uid="{00000000-0005-0000-0000-0000CD040000}"/>
    <cellStyle name="60% - Ênfase2 30 2" xfId="1396" xr:uid="{00000000-0005-0000-0000-0000CE040000}"/>
    <cellStyle name="60% - Ênfase2 31" xfId="1397" xr:uid="{00000000-0005-0000-0000-0000CF040000}"/>
    <cellStyle name="60% - Ênfase2 31 2" xfId="1398" xr:uid="{00000000-0005-0000-0000-0000D0040000}"/>
    <cellStyle name="60% - Ênfase2 32" xfId="1399" xr:uid="{00000000-0005-0000-0000-0000D1040000}"/>
    <cellStyle name="60% - Ênfase2 32 2" xfId="1400" xr:uid="{00000000-0005-0000-0000-0000D2040000}"/>
    <cellStyle name="60% - Ênfase2 33" xfId="1401" xr:uid="{00000000-0005-0000-0000-0000D3040000}"/>
    <cellStyle name="60% - Ênfase2 33 2" xfId="1402" xr:uid="{00000000-0005-0000-0000-0000D4040000}"/>
    <cellStyle name="60% - Ênfase2 34" xfId="1403" xr:uid="{00000000-0005-0000-0000-0000D5040000}"/>
    <cellStyle name="60% - Ênfase2 34 2" xfId="1404" xr:uid="{00000000-0005-0000-0000-0000D6040000}"/>
    <cellStyle name="60% - Ênfase2 35" xfId="1405" xr:uid="{00000000-0005-0000-0000-0000D7040000}"/>
    <cellStyle name="60% - Ênfase2 35 2" xfId="1406" xr:uid="{00000000-0005-0000-0000-0000D8040000}"/>
    <cellStyle name="60% - Ênfase2 36" xfId="1407" xr:uid="{00000000-0005-0000-0000-0000D9040000}"/>
    <cellStyle name="60% - Ênfase2 36 2" xfId="1408" xr:uid="{00000000-0005-0000-0000-0000DA040000}"/>
    <cellStyle name="60% - Ênfase2 37" xfId="1409" xr:uid="{00000000-0005-0000-0000-0000DB040000}"/>
    <cellStyle name="60% - Ênfase2 37 2" xfId="1410" xr:uid="{00000000-0005-0000-0000-0000DC040000}"/>
    <cellStyle name="60% - Ênfase2 4" xfId="1411" xr:uid="{00000000-0005-0000-0000-0000DD040000}"/>
    <cellStyle name="60% - Ênfase2 4 2" xfId="1412" xr:uid="{00000000-0005-0000-0000-0000DE040000}"/>
    <cellStyle name="60% - Ênfase2 5" xfId="1413" xr:uid="{00000000-0005-0000-0000-0000DF040000}"/>
    <cellStyle name="60% - Ênfase2 5 2" xfId="1414" xr:uid="{00000000-0005-0000-0000-0000E0040000}"/>
    <cellStyle name="60% - Ênfase2 6" xfId="1415" xr:uid="{00000000-0005-0000-0000-0000E1040000}"/>
    <cellStyle name="60% - Ênfase2 6 2" xfId="1416" xr:uid="{00000000-0005-0000-0000-0000E2040000}"/>
    <cellStyle name="60% - Ênfase2 7" xfId="1417" xr:uid="{00000000-0005-0000-0000-0000E3040000}"/>
    <cellStyle name="60% - Ênfase2 7 2" xfId="1418" xr:uid="{00000000-0005-0000-0000-0000E4040000}"/>
    <cellStyle name="60% - Ênfase2 8" xfId="1419" xr:uid="{00000000-0005-0000-0000-0000E5040000}"/>
    <cellStyle name="60% - Ênfase2 8 2" xfId="1420" xr:uid="{00000000-0005-0000-0000-0000E6040000}"/>
    <cellStyle name="60% - Ênfase2 9" xfId="1421" xr:uid="{00000000-0005-0000-0000-0000E7040000}"/>
    <cellStyle name="60% - Ênfase2 9 2" xfId="1422" xr:uid="{00000000-0005-0000-0000-0000E8040000}"/>
    <cellStyle name="60% - Ênfase3 10" xfId="1423" xr:uid="{00000000-0005-0000-0000-0000E9040000}"/>
    <cellStyle name="60% - Ênfase3 10 2" xfId="1424" xr:uid="{00000000-0005-0000-0000-0000EA040000}"/>
    <cellStyle name="60% - Ênfase3 11" xfId="1425" xr:uid="{00000000-0005-0000-0000-0000EB040000}"/>
    <cellStyle name="60% - Ênfase3 11 2" xfId="1426" xr:uid="{00000000-0005-0000-0000-0000EC040000}"/>
    <cellStyle name="60% - Ênfase3 12" xfId="1427" xr:uid="{00000000-0005-0000-0000-0000ED040000}"/>
    <cellStyle name="60% - Ênfase3 12 2" xfId="1428" xr:uid="{00000000-0005-0000-0000-0000EE040000}"/>
    <cellStyle name="60% - Ênfase3 13" xfId="1429" xr:uid="{00000000-0005-0000-0000-0000EF040000}"/>
    <cellStyle name="60% - Ênfase3 13 2" xfId="1430" xr:uid="{00000000-0005-0000-0000-0000F0040000}"/>
    <cellStyle name="60% - Ênfase3 14" xfId="1431" xr:uid="{00000000-0005-0000-0000-0000F1040000}"/>
    <cellStyle name="60% - Ênfase3 14 2" xfId="1432" xr:uid="{00000000-0005-0000-0000-0000F2040000}"/>
    <cellStyle name="60% - Ênfase3 15" xfId="1433" xr:uid="{00000000-0005-0000-0000-0000F3040000}"/>
    <cellStyle name="60% - Ênfase3 15 2" xfId="1434" xr:uid="{00000000-0005-0000-0000-0000F4040000}"/>
    <cellStyle name="60% - Ênfase3 16" xfId="1435" xr:uid="{00000000-0005-0000-0000-0000F5040000}"/>
    <cellStyle name="60% - Ênfase3 16 2" xfId="1436" xr:uid="{00000000-0005-0000-0000-0000F6040000}"/>
    <cellStyle name="60% - Ênfase3 17" xfId="1437" xr:uid="{00000000-0005-0000-0000-0000F7040000}"/>
    <cellStyle name="60% - Ênfase3 17 2" xfId="1438" xr:uid="{00000000-0005-0000-0000-0000F8040000}"/>
    <cellStyle name="60% - Ênfase3 18" xfId="1439" xr:uid="{00000000-0005-0000-0000-0000F9040000}"/>
    <cellStyle name="60% - Ênfase3 18 2" xfId="1440" xr:uid="{00000000-0005-0000-0000-0000FA040000}"/>
    <cellStyle name="60% - Ênfase3 19" xfId="1441" xr:uid="{00000000-0005-0000-0000-0000FB040000}"/>
    <cellStyle name="60% - Ênfase3 19 2" xfId="1442" xr:uid="{00000000-0005-0000-0000-0000FC040000}"/>
    <cellStyle name="60% - Ênfase3 2" xfId="1443" xr:uid="{00000000-0005-0000-0000-0000FD040000}"/>
    <cellStyle name="60% - Ênfase3 2 2" xfId="1444" xr:uid="{00000000-0005-0000-0000-0000FE040000}"/>
    <cellStyle name="60% - Ênfase3 2 2 2" xfId="1445" xr:uid="{00000000-0005-0000-0000-0000FF040000}"/>
    <cellStyle name="60% - Ênfase3 20" xfId="1446" xr:uid="{00000000-0005-0000-0000-000000050000}"/>
    <cellStyle name="60% - Ênfase3 20 2" xfId="1447" xr:uid="{00000000-0005-0000-0000-000001050000}"/>
    <cellStyle name="60% - Ênfase3 21" xfId="1448" xr:uid="{00000000-0005-0000-0000-000002050000}"/>
    <cellStyle name="60% - Ênfase3 21 2" xfId="1449" xr:uid="{00000000-0005-0000-0000-000003050000}"/>
    <cellStyle name="60% - Ênfase3 22" xfId="1450" xr:uid="{00000000-0005-0000-0000-000004050000}"/>
    <cellStyle name="60% - Ênfase3 22 2" xfId="1451" xr:uid="{00000000-0005-0000-0000-000005050000}"/>
    <cellStyle name="60% - Ênfase3 23" xfId="1452" xr:uid="{00000000-0005-0000-0000-000006050000}"/>
    <cellStyle name="60% - Ênfase3 23 2" xfId="1453" xr:uid="{00000000-0005-0000-0000-000007050000}"/>
    <cellStyle name="60% - Ênfase3 24" xfId="1454" xr:uid="{00000000-0005-0000-0000-000008050000}"/>
    <cellStyle name="60% - Ênfase3 24 2" xfId="1455" xr:uid="{00000000-0005-0000-0000-000009050000}"/>
    <cellStyle name="60% - Ênfase3 25" xfId="1456" xr:uid="{00000000-0005-0000-0000-00000A050000}"/>
    <cellStyle name="60% - Ênfase3 25 2" xfId="1457" xr:uid="{00000000-0005-0000-0000-00000B050000}"/>
    <cellStyle name="60% - Ênfase3 26" xfId="1458" xr:uid="{00000000-0005-0000-0000-00000C050000}"/>
    <cellStyle name="60% - Ênfase3 26 2" xfId="1459" xr:uid="{00000000-0005-0000-0000-00000D050000}"/>
    <cellStyle name="60% - Ênfase3 27" xfId="1460" xr:uid="{00000000-0005-0000-0000-00000E050000}"/>
    <cellStyle name="60% - Ênfase3 27 2" xfId="1461" xr:uid="{00000000-0005-0000-0000-00000F050000}"/>
    <cellStyle name="60% - Ênfase3 28" xfId="1462" xr:uid="{00000000-0005-0000-0000-000010050000}"/>
    <cellStyle name="60% - Ênfase3 28 2" xfId="1463" xr:uid="{00000000-0005-0000-0000-000011050000}"/>
    <cellStyle name="60% - Ênfase3 29" xfId="1464" xr:uid="{00000000-0005-0000-0000-000012050000}"/>
    <cellStyle name="60% - Ênfase3 29 2" xfId="1465" xr:uid="{00000000-0005-0000-0000-000013050000}"/>
    <cellStyle name="60% - Ênfase3 3" xfId="1466" xr:uid="{00000000-0005-0000-0000-000014050000}"/>
    <cellStyle name="60% - Ênfase3 3 2" xfId="1467" xr:uid="{00000000-0005-0000-0000-000015050000}"/>
    <cellStyle name="60% - Ênfase3 30" xfId="1468" xr:uid="{00000000-0005-0000-0000-000016050000}"/>
    <cellStyle name="60% - Ênfase3 30 2" xfId="1469" xr:uid="{00000000-0005-0000-0000-000017050000}"/>
    <cellStyle name="60% - Ênfase3 31" xfId="1470" xr:uid="{00000000-0005-0000-0000-000018050000}"/>
    <cellStyle name="60% - Ênfase3 31 2" xfId="1471" xr:uid="{00000000-0005-0000-0000-000019050000}"/>
    <cellStyle name="60% - Ênfase3 32" xfId="1472" xr:uid="{00000000-0005-0000-0000-00001A050000}"/>
    <cellStyle name="60% - Ênfase3 32 2" xfId="1473" xr:uid="{00000000-0005-0000-0000-00001B050000}"/>
    <cellStyle name="60% - Ênfase3 33" xfId="1474" xr:uid="{00000000-0005-0000-0000-00001C050000}"/>
    <cellStyle name="60% - Ênfase3 33 2" xfId="1475" xr:uid="{00000000-0005-0000-0000-00001D050000}"/>
    <cellStyle name="60% - Ênfase3 34" xfId="1476" xr:uid="{00000000-0005-0000-0000-00001E050000}"/>
    <cellStyle name="60% - Ênfase3 34 2" xfId="1477" xr:uid="{00000000-0005-0000-0000-00001F050000}"/>
    <cellStyle name="60% - Ênfase3 35" xfId="1478" xr:uid="{00000000-0005-0000-0000-000020050000}"/>
    <cellStyle name="60% - Ênfase3 35 2" xfId="1479" xr:uid="{00000000-0005-0000-0000-000021050000}"/>
    <cellStyle name="60% - Ênfase3 36" xfId="1480" xr:uid="{00000000-0005-0000-0000-000022050000}"/>
    <cellStyle name="60% - Ênfase3 36 2" xfId="1481" xr:uid="{00000000-0005-0000-0000-000023050000}"/>
    <cellStyle name="60% - Ênfase3 37" xfId="1482" xr:uid="{00000000-0005-0000-0000-000024050000}"/>
    <cellStyle name="60% - Ênfase3 37 2" xfId="1483" xr:uid="{00000000-0005-0000-0000-000025050000}"/>
    <cellStyle name="60% - Ênfase3 4" xfId="1484" xr:uid="{00000000-0005-0000-0000-000026050000}"/>
    <cellStyle name="60% - Ênfase3 4 2" xfId="1485" xr:uid="{00000000-0005-0000-0000-000027050000}"/>
    <cellStyle name="60% - Ênfase3 5" xfId="1486" xr:uid="{00000000-0005-0000-0000-000028050000}"/>
    <cellStyle name="60% - Ênfase3 5 2" xfId="1487" xr:uid="{00000000-0005-0000-0000-000029050000}"/>
    <cellStyle name="60% - Ênfase3 6" xfId="1488" xr:uid="{00000000-0005-0000-0000-00002A050000}"/>
    <cellStyle name="60% - Ênfase3 6 2" xfId="1489" xr:uid="{00000000-0005-0000-0000-00002B050000}"/>
    <cellStyle name="60% - Ênfase3 7" xfId="1490" xr:uid="{00000000-0005-0000-0000-00002C050000}"/>
    <cellStyle name="60% - Ênfase3 7 2" xfId="1491" xr:uid="{00000000-0005-0000-0000-00002D050000}"/>
    <cellStyle name="60% - Ênfase3 8" xfId="1492" xr:uid="{00000000-0005-0000-0000-00002E050000}"/>
    <cellStyle name="60% - Ênfase3 8 2" xfId="1493" xr:uid="{00000000-0005-0000-0000-00002F050000}"/>
    <cellStyle name="60% - Ênfase3 9" xfId="1494" xr:uid="{00000000-0005-0000-0000-000030050000}"/>
    <cellStyle name="60% - Ênfase3 9 2" xfId="1495" xr:uid="{00000000-0005-0000-0000-000031050000}"/>
    <cellStyle name="60% - Ênfase4 10" xfId="1496" xr:uid="{00000000-0005-0000-0000-000032050000}"/>
    <cellStyle name="60% - Ênfase4 10 2" xfId="1497" xr:uid="{00000000-0005-0000-0000-000033050000}"/>
    <cellStyle name="60% - Ênfase4 11" xfId="1498" xr:uid="{00000000-0005-0000-0000-000034050000}"/>
    <cellStyle name="60% - Ênfase4 11 2" xfId="1499" xr:uid="{00000000-0005-0000-0000-000035050000}"/>
    <cellStyle name="60% - Ênfase4 12" xfId="1500" xr:uid="{00000000-0005-0000-0000-000036050000}"/>
    <cellStyle name="60% - Ênfase4 12 2" xfId="1501" xr:uid="{00000000-0005-0000-0000-000037050000}"/>
    <cellStyle name="60% - Ênfase4 13" xfId="1502" xr:uid="{00000000-0005-0000-0000-000038050000}"/>
    <cellStyle name="60% - Ênfase4 13 2" xfId="1503" xr:uid="{00000000-0005-0000-0000-000039050000}"/>
    <cellStyle name="60% - Ênfase4 14" xfId="1504" xr:uid="{00000000-0005-0000-0000-00003A050000}"/>
    <cellStyle name="60% - Ênfase4 14 2" xfId="1505" xr:uid="{00000000-0005-0000-0000-00003B050000}"/>
    <cellStyle name="60% - Ênfase4 15" xfId="1506" xr:uid="{00000000-0005-0000-0000-00003C050000}"/>
    <cellStyle name="60% - Ênfase4 15 2" xfId="1507" xr:uid="{00000000-0005-0000-0000-00003D050000}"/>
    <cellStyle name="60% - Ênfase4 16" xfId="1508" xr:uid="{00000000-0005-0000-0000-00003E050000}"/>
    <cellStyle name="60% - Ênfase4 16 2" xfId="1509" xr:uid="{00000000-0005-0000-0000-00003F050000}"/>
    <cellStyle name="60% - Ênfase4 17" xfId="1510" xr:uid="{00000000-0005-0000-0000-000040050000}"/>
    <cellStyle name="60% - Ênfase4 17 2" xfId="1511" xr:uid="{00000000-0005-0000-0000-000041050000}"/>
    <cellStyle name="60% - Ênfase4 18" xfId="1512" xr:uid="{00000000-0005-0000-0000-000042050000}"/>
    <cellStyle name="60% - Ênfase4 18 2" xfId="1513" xr:uid="{00000000-0005-0000-0000-000043050000}"/>
    <cellStyle name="60% - Ênfase4 19" xfId="1514" xr:uid="{00000000-0005-0000-0000-000044050000}"/>
    <cellStyle name="60% - Ênfase4 19 2" xfId="1515" xr:uid="{00000000-0005-0000-0000-000045050000}"/>
    <cellStyle name="60% - Ênfase4 2" xfId="1516" xr:uid="{00000000-0005-0000-0000-000046050000}"/>
    <cellStyle name="60% - Ênfase4 2 2" xfId="1517" xr:uid="{00000000-0005-0000-0000-000047050000}"/>
    <cellStyle name="60% - Ênfase4 2 2 2" xfId="1518" xr:uid="{00000000-0005-0000-0000-000048050000}"/>
    <cellStyle name="60% - Ênfase4 20" xfId="1519" xr:uid="{00000000-0005-0000-0000-000049050000}"/>
    <cellStyle name="60% - Ênfase4 20 2" xfId="1520" xr:uid="{00000000-0005-0000-0000-00004A050000}"/>
    <cellStyle name="60% - Ênfase4 21" xfId="1521" xr:uid="{00000000-0005-0000-0000-00004B050000}"/>
    <cellStyle name="60% - Ênfase4 21 2" xfId="1522" xr:uid="{00000000-0005-0000-0000-00004C050000}"/>
    <cellStyle name="60% - Ênfase4 22" xfId="1523" xr:uid="{00000000-0005-0000-0000-00004D050000}"/>
    <cellStyle name="60% - Ênfase4 22 2" xfId="1524" xr:uid="{00000000-0005-0000-0000-00004E050000}"/>
    <cellStyle name="60% - Ênfase4 23" xfId="1525" xr:uid="{00000000-0005-0000-0000-00004F050000}"/>
    <cellStyle name="60% - Ênfase4 23 2" xfId="1526" xr:uid="{00000000-0005-0000-0000-000050050000}"/>
    <cellStyle name="60% - Ênfase4 24" xfId="1527" xr:uid="{00000000-0005-0000-0000-000051050000}"/>
    <cellStyle name="60% - Ênfase4 24 2" xfId="1528" xr:uid="{00000000-0005-0000-0000-000052050000}"/>
    <cellStyle name="60% - Ênfase4 25" xfId="1529" xr:uid="{00000000-0005-0000-0000-000053050000}"/>
    <cellStyle name="60% - Ênfase4 25 2" xfId="1530" xr:uid="{00000000-0005-0000-0000-000054050000}"/>
    <cellStyle name="60% - Ênfase4 26" xfId="1531" xr:uid="{00000000-0005-0000-0000-000055050000}"/>
    <cellStyle name="60% - Ênfase4 26 2" xfId="1532" xr:uid="{00000000-0005-0000-0000-000056050000}"/>
    <cellStyle name="60% - Ênfase4 27" xfId="1533" xr:uid="{00000000-0005-0000-0000-000057050000}"/>
    <cellStyle name="60% - Ênfase4 27 2" xfId="1534" xr:uid="{00000000-0005-0000-0000-000058050000}"/>
    <cellStyle name="60% - Ênfase4 28" xfId="1535" xr:uid="{00000000-0005-0000-0000-000059050000}"/>
    <cellStyle name="60% - Ênfase4 28 2" xfId="1536" xr:uid="{00000000-0005-0000-0000-00005A050000}"/>
    <cellStyle name="60% - Ênfase4 29" xfId="1537" xr:uid="{00000000-0005-0000-0000-00005B050000}"/>
    <cellStyle name="60% - Ênfase4 29 2" xfId="1538" xr:uid="{00000000-0005-0000-0000-00005C050000}"/>
    <cellStyle name="60% - Ênfase4 3" xfId="1539" xr:uid="{00000000-0005-0000-0000-00005D050000}"/>
    <cellStyle name="60% - Ênfase4 3 2" xfId="1540" xr:uid="{00000000-0005-0000-0000-00005E050000}"/>
    <cellStyle name="60% - Ênfase4 30" xfId="1541" xr:uid="{00000000-0005-0000-0000-00005F050000}"/>
    <cellStyle name="60% - Ênfase4 30 2" xfId="1542" xr:uid="{00000000-0005-0000-0000-000060050000}"/>
    <cellStyle name="60% - Ênfase4 31" xfId="1543" xr:uid="{00000000-0005-0000-0000-000061050000}"/>
    <cellStyle name="60% - Ênfase4 31 2" xfId="1544" xr:uid="{00000000-0005-0000-0000-000062050000}"/>
    <cellStyle name="60% - Ênfase4 32" xfId="1545" xr:uid="{00000000-0005-0000-0000-000063050000}"/>
    <cellStyle name="60% - Ênfase4 32 2" xfId="1546" xr:uid="{00000000-0005-0000-0000-000064050000}"/>
    <cellStyle name="60% - Ênfase4 33" xfId="1547" xr:uid="{00000000-0005-0000-0000-000065050000}"/>
    <cellStyle name="60% - Ênfase4 33 2" xfId="1548" xr:uid="{00000000-0005-0000-0000-000066050000}"/>
    <cellStyle name="60% - Ênfase4 34" xfId="1549" xr:uid="{00000000-0005-0000-0000-000067050000}"/>
    <cellStyle name="60% - Ênfase4 34 2" xfId="1550" xr:uid="{00000000-0005-0000-0000-000068050000}"/>
    <cellStyle name="60% - Ênfase4 35" xfId="1551" xr:uid="{00000000-0005-0000-0000-000069050000}"/>
    <cellStyle name="60% - Ênfase4 35 2" xfId="1552" xr:uid="{00000000-0005-0000-0000-00006A050000}"/>
    <cellStyle name="60% - Ênfase4 36" xfId="1553" xr:uid="{00000000-0005-0000-0000-00006B050000}"/>
    <cellStyle name="60% - Ênfase4 36 2" xfId="1554" xr:uid="{00000000-0005-0000-0000-00006C050000}"/>
    <cellStyle name="60% - Ênfase4 37" xfId="1555" xr:uid="{00000000-0005-0000-0000-00006D050000}"/>
    <cellStyle name="60% - Ênfase4 37 2" xfId="1556" xr:uid="{00000000-0005-0000-0000-00006E050000}"/>
    <cellStyle name="60% - Ênfase4 4" xfId="1557" xr:uid="{00000000-0005-0000-0000-00006F050000}"/>
    <cellStyle name="60% - Ênfase4 4 2" xfId="1558" xr:uid="{00000000-0005-0000-0000-000070050000}"/>
    <cellStyle name="60% - Ênfase4 5" xfId="1559" xr:uid="{00000000-0005-0000-0000-000071050000}"/>
    <cellStyle name="60% - Ênfase4 5 2" xfId="1560" xr:uid="{00000000-0005-0000-0000-000072050000}"/>
    <cellStyle name="60% - Ênfase4 6" xfId="1561" xr:uid="{00000000-0005-0000-0000-000073050000}"/>
    <cellStyle name="60% - Ênfase4 6 2" xfId="1562" xr:uid="{00000000-0005-0000-0000-000074050000}"/>
    <cellStyle name="60% - Ênfase4 7" xfId="1563" xr:uid="{00000000-0005-0000-0000-000075050000}"/>
    <cellStyle name="60% - Ênfase4 7 2" xfId="1564" xr:uid="{00000000-0005-0000-0000-000076050000}"/>
    <cellStyle name="60% - Ênfase4 8" xfId="1565" xr:uid="{00000000-0005-0000-0000-000077050000}"/>
    <cellStyle name="60% - Ênfase4 8 2" xfId="1566" xr:uid="{00000000-0005-0000-0000-000078050000}"/>
    <cellStyle name="60% - Ênfase4 9" xfId="1567" xr:uid="{00000000-0005-0000-0000-000079050000}"/>
    <cellStyle name="60% - Ênfase4 9 2" xfId="1568" xr:uid="{00000000-0005-0000-0000-00007A050000}"/>
    <cellStyle name="60% - Ênfase5 10" xfId="1569" xr:uid="{00000000-0005-0000-0000-00007B050000}"/>
    <cellStyle name="60% - Ênfase5 10 2" xfId="1570" xr:uid="{00000000-0005-0000-0000-00007C050000}"/>
    <cellStyle name="60% - Ênfase5 11" xfId="1571" xr:uid="{00000000-0005-0000-0000-00007D050000}"/>
    <cellStyle name="60% - Ênfase5 11 2" xfId="1572" xr:uid="{00000000-0005-0000-0000-00007E050000}"/>
    <cellStyle name="60% - Ênfase5 12" xfId="1573" xr:uid="{00000000-0005-0000-0000-00007F050000}"/>
    <cellStyle name="60% - Ênfase5 12 2" xfId="1574" xr:uid="{00000000-0005-0000-0000-000080050000}"/>
    <cellStyle name="60% - Ênfase5 13" xfId="1575" xr:uid="{00000000-0005-0000-0000-000081050000}"/>
    <cellStyle name="60% - Ênfase5 13 2" xfId="1576" xr:uid="{00000000-0005-0000-0000-000082050000}"/>
    <cellStyle name="60% - Ênfase5 14" xfId="1577" xr:uid="{00000000-0005-0000-0000-000083050000}"/>
    <cellStyle name="60% - Ênfase5 14 2" xfId="1578" xr:uid="{00000000-0005-0000-0000-000084050000}"/>
    <cellStyle name="60% - Ênfase5 15" xfId="1579" xr:uid="{00000000-0005-0000-0000-000085050000}"/>
    <cellStyle name="60% - Ênfase5 15 2" xfId="1580" xr:uid="{00000000-0005-0000-0000-000086050000}"/>
    <cellStyle name="60% - Ênfase5 16" xfId="1581" xr:uid="{00000000-0005-0000-0000-000087050000}"/>
    <cellStyle name="60% - Ênfase5 16 2" xfId="1582" xr:uid="{00000000-0005-0000-0000-000088050000}"/>
    <cellStyle name="60% - Ênfase5 17" xfId="1583" xr:uid="{00000000-0005-0000-0000-000089050000}"/>
    <cellStyle name="60% - Ênfase5 17 2" xfId="1584" xr:uid="{00000000-0005-0000-0000-00008A050000}"/>
    <cellStyle name="60% - Ênfase5 18" xfId="1585" xr:uid="{00000000-0005-0000-0000-00008B050000}"/>
    <cellStyle name="60% - Ênfase5 18 2" xfId="1586" xr:uid="{00000000-0005-0000-0000-00008C050000}"/>
    <cellStyle name="60% - Ênfase5 19" xfId="1587" xr:uid="{00000000-0005-0000-0000-00008D050000}"/>
    <cellStyle name="60% - Ênfase5 19 2" xfId="1588" xr:uid="{00000000-0005-0000-0000-00008E050000}"/>
    <cellStyle name="60% - Ênfase5 2" xfId="1589" xr:uid="{00000000-0005-0000-0000-00008F050000}"/>
    <cellStyle name="60% - Ênfase5 2 2" xfId="1590" xr:uid="{00000000-0005-0000-0000-000090050000}"/>
    <cellStyle name="60% - Ênfase5 2 2 2" xfId="1591" xr:uid="{00000000-0005-0000-0000-000091050000}"/>
    <cellStyle name="60% - Ênfase5 20" xfId="1592" xr:uid="{00000000-0005-0000-0000-000092050000}"/>
    <cellStyle name="60% - Ênfase5 20 2" xfId="1593" xr:uid="{00000000-0005-0000-0000-000093050000}"/>
    <cellStyle name="60% - Ênfase5 21" xfId="1594" xr:uid="{00000000-0005-0000-0000-000094050000}"/>
    <cellStyle name="60% - Ênfase5 21 2" xfId="1595" xr:uid="{00000000-0005-0000-0000-000095050000}"/>
    <cellStyle name="60% - Ênfase5 22" xfId="1596" xr:uid="{00000000-0005-0000-0000-000096050000}"/>
    <cellStyle name="60% - Ênfase5 22 2" xfId="1597" xr:uid="{00000000-0005-0000-0000-000097050000}"/>
    <cellStyle name="60% - Ênfase5 23" xfId="1598" xr:uid="{00000000-0005-0000-0000-000098050000}"/>
    <cellStyle name="60% - Ênfase5 23 2" xfId="1599" xr:uid="{00000000-0005-0000-0000-000099050000}"/>
    <cellStyle name="60% - Ênfase5 24" xfId="1600" xr:uid="{00000000-0005-0000-0000-00009A050000}"/>
    <cellStyle name="60% - Ênfase5 24 2" xfId="1601" xr:uid="{00000000-0005-0000-0000-00009B050000}"/>
    <cellStyle name="60% - Ênfase5 25" xfId="1602" xr:uid="{00000000-0005-0000-0000-00009C050000}"/>
    <cellStyle name="60% - Ênfase5 25 2" xfId="1603" xr:uid="{00000000-0005-0000-0000-00009D050000}"/>
    <cellStyle name="60% - Ênfase5 26" xfId="1604" xr:uid="{00000000-0005-0000-0000-00009E050000}"/>
    <cellStyle name="60% - Ênfase5 26 2" xfId="1605" xr:uid="{00000000-0005-0000-0000-00009F050000}"/>
    <cellStyle name="60% - Ênfase5 27" xfId="1606" xr:uid="{00000000-0005-0000-0000-0000A0050000}"/>
    <cellStyle name="60% - Ênfase5 27 2" xfId="1607" xr:uid="{00000000-0005-0000-0000-0000A1050000}"/>
    <cellStyle name="60% - Ênfase5 28" xfId="1608" xr:uid="{00000000-0005-0000-0000-0000A2050000}"/>
    <cellStyle name="60% - Ênfase5 28 2" xfId="1609" xr:uid="{00000000-0005-0000-0000-0000A3050000}"/>
    <cellStyle name="60% - Ênfase5 29" xfId="1610" xr:uid="{00000000-0005-0000-0000-0000A4050000}"/>
    <cellStyle name="60% - Ênfase5 29 2" xfId="1611" xr:uid="{00000000-0005-0000-0000-0000A5050000}"/>
    <cellStyle name="60% - Ênfase5 3" xfId="1612" xr:uid="{00000000-0005-0000-0000-0000A6050000}"/>
    <cellStyle name="60% - Ênfase5 3 2" xfId="1613" xr:uid="{00000000-0005-0000-0000-0000A7050000}"/>
    <cellStyle name="60% - Ênfase5 30" xfId="1614" xr:uid="{00000000-0005-0000-0000-0000A8050000}"/>
    <cellStyle name="60% - Ênfase5 30 2" xfId="1615" xr:uid="{00000000-0005-0000-0000-0000A9050000}"/>
    <cellStyle name="60% - Ênfase5 31" xfId="1616" xr:uid="{00000000-0005-0000-0000-0000AA050000}"/>
    <cellStyle name="60% - Ênfase5 31 2" xfId="1617" xr:uid="{00000000-0005-0000-0000-0000AB050000}"/>
    <cellStyle name="60% - Ênfase5 32" xfId="1618" xr:uid="{00000000-0005-0000-0000-0000AC050000}"/>
    <cellStyle name="60% - Ênfase5 32 2" xfId="1619" xr:uid="{00000000-0005-0000-0000-0000AD050000}"/>
    <cellStyle name="60% - Ênfase5 33" xfId="1620" xr:uid="{00000000-0005-0000-0000-0000AE050000}"/>
    <cellStyle name="60% - Ênfase5 33 2" xfId="1621" xr:uid="{00000000-0005-0000-0000-0000AF050000}"/>
    <cellStyle name="60% - Ênfase5 34" xfId="1622" xr:uid="{00000000-0005-0000-0000-0000B0050000}"/>
    <cellStyle name="60% - Ênfase5 34 2" xfId="1623" xr:uid="{00000000-0005-0000-0000-0000B1050000}"/>
    <cellStyle name="60% - Ênfase5 35" xfId="1624" xr:uid="{00000000-0005-0000-0000-0000B2050000}"/>
    <cellStyle name="60% - Ênfase5 35 2" xfId="1625" xr:uid="{00000000-0005-0000-0000-0000B3050000}"/>
    <cellStyle name="60% - Ênfase5 36" xfId="1626" xr:uid="{00000000-0005-0000-0000-0000B4050000}"/>
    <cellStyle name="60% - Ênfase5 36 2" xfId="1627" xr:uid="{00000000-0005-0000-0000-0000B5050000}"/>
    <cellStyle name="60% - Ênfase5 37" xfId="1628" xr:uid="{00000000-0005-0000-0000-0000B6050000}"/>
    <cellStyle name="60% - Ênfase5 37 2" xfId="1629" xr:uid="{00000000-0005-0000-0000-0000B7050000}"/>
    <cellStyle name="60% - Ênfase5 4" xfId="1630" xr:uid="{00000000-0005-0000-0000-0000B8050000}"/>
    <cellStyle name="60% - Ênfase5 4 2" xfId="1631" xr:uid="{00000000-0005-0000-0000-0000B9050000}"/>
    <cellStyle name="60% - Ênfase5 5" xfId="1632" xr:uid="{00000000-0005-0000-0000-0000BA050000}"/>
    <cellStyle name="60% - Ênfase5 5 2" xfId="1633" xr:uid="{00000000-0005-0000-0000-0000BB050000}"/>
    <cellStyle name="60% - Ênfase5 6" xfId="1634" xr:uid="{00000000-0005-0000-0000-0000BC050000}"/>
    <cellStyle name="60% - Ênfase5 6 2" xfId="1635" xr:uid="{00000000-0005-0000-0000-0000BD050000}"/>
    <cellStyle name="60% - Ênfase5 7" xfId="1636" xr:uid="{00000000-0005-0000-0000-0000BE050000}"/>
    <cellStyle name="60% - Ênfase5 7 2" xfId="1637" xr:uid="{00000000-0005-0000-0000-0000BF050000}"/>
    <cellStyle name="60% - Ênfase5 8" xfId="1638" xr:uid="{00000000-0005-0000-0000-0000C0050000}"/>
    <cellStyle name="60% - Ênfase5 8 2" xfId="1639" xr:uid="{00000000-0005-0000-0000-0000C1050000}"/>
    <cellStyle name="60% - Ênfase5 9" xfId="1640" xr:uid="{00000000-0005-0000-0000-0000C2050000}"/>
    <cellStyle name="60% - Ênfase5 9 2" xfId="1641" xr:uid="{00000000-0005-0000-0000-0000C3050000}"/>
    <cellStyle name="60% - Ênfase6 10" xfId="1642" xr:uid="{00000000-0005-0000-0000-0000C4050000}"/>
    <cellStyle name="60% - Ênfase6 10 2" xfId="1643" xr:uid="{00000000-0005-0000-0000-0000C5050000}"/>
    <cellStyle name="60% - Ênfase6 10 2 2" xfId="1644" xr:uid="{00000000-0005-0000-0000-0000C6050000}"/>
    <cellStyle name="60% - Ênfase6 10 3" xfId="1645" xr:uid="{00000000-0005-0000-0000-0000C7050000}"/>
    <cellStyle name="60% - Ênfase6 11" xfId="1646" xr:uid="{00000000-0005-0000-0000-0000C8050000}"/>
    <cellStyle name="60% - Ênfase6 11 2" xfId="1647" xr:uid="{00000000-0005-0000-0000-0000C9050000}"/>
    <cellStyle name="60% - Ênfase6 11 2 2" xfId="1648" xr:uid="{00000000-0005-0000-0000-0000CA050000}"/>
    <cellStyle name="60% - Ênfase6 11 3" xfId="1649" xr:uid="{00000000-0005-0000-0000-0000CB050000}"/>
    <cellStyle name="60% - Ênfase6 12" xfId="1650" xr:uid="{00000000-0005-0000-0000-0000CC050000}"/>
    <cellStyle name="60% - Ênfase6 12 2" xfId="1651" xr:uid="{00000000-0005-0000-0000-0000CD050000}"/>
    <cellStyle name="60% - Ênfase6 12 2 2" xfId="1652" xr:uid="{00000000-0005-0000-0000-0000CE050000}"/>
    <cellStyle name="60% - Ênfase6 12 3" xfId="1653" xr:uid="{00000000-0005-0000-0000-0000CF050000}"/>
    <cellStyle name="60% - Ênfase6 13" xfId="1654" xr:uid="{00000000-0005-0000-0000-0000D0050000}"/>
    <cellStyle name="60% - Ênfase6 13 2" xfId="1655" xr:uid="{00000000-0005-0000-0000-0000D1050000}"/>
    <cellStyle name="60% - Ênfase6 13 2 2" xfId="1656" xr:uid="{00000000-0005-0000-0000-0000D2050000}"/>
    <cellStyle name="60% - Ênfase6 13 3" xfId="1657" xr:uid="{00000000-0005-0000-0000-0000D3050000}"/>
    <cellStyle name="60% - Ênfase6 14" xfId="1658" xr:uid="{00000000-0005-0000-0000-0000D4050000}"/>
    <cellStyle name="60% - Ênfase6 14 2" xfId="1659" xr:uid="{00000000-0005-0000-0000-0000D5050000}"/>
    <cellStyle name="60% - Ênfase6 14 2 2" xfId="1660" xr:uid="{00000000-0005-0000-0000-0000D6050000}"/>
    <cellStyle name="60% - Ênfase6 14 3" xfId="1661" xr:uid="{00000000-0005-0000-0000-0000D7050000}"/>
    <cellStyle name="60% - Ênfase6 15" xfId="1662" xr:uid="{00000000-0005-0000-0000-0000D8050000}"/>
    <cellStyle name="60% - Ênfase6 15 2" xfId="1663" xr:uid="{00000000-0005-0000-0000-0000D9050000}"/>
    <cellStyle name="60% - Ênfase6 15 2 2" xfId="1664" xr:uid="{00000000-0005-0000-0000-0000DA050000}"/>
    <cellStyle name="60% - Ênfase6 15 3" xfId="1665" xr:uid="{00000000-0005-0000-0000-0000DB050000}"/>
    <cellStyle name="60% - Ênfase6 16" xfId="1666" xr:uid="{00000000-0005-0000-0000-0000DC050000}"/>
    <cellStyle name="60% - Ênfase6 16 2" xfId="1667" xr:uid="{00000000-0005-0000-0000-0000DD050000}"/>
    <cellStyle name="60% - Ênfase6 16 2 2" xfId="1668" xr:uid="{00000000-0005-0000-0000-0000DE050000}"/>
    <cellStyle name="60% - Ênfase6 16 3" xfId="1669" xr:uid="{00000000-0005-0000-0000-0000DF050000}"/>
    <cellStyle name="60% - Ênfase6 17" xfId="1670" xr:uid="{00000000-0005-0000-0000-0000E0050000}"/>
    <cellStyle name="60% - Ênfase6 17 2" xfId="1671" xr:uid="{00000000-0005-0000-0000-0000E1050000}"/>
    <cellStyle name="60% - Ênfase6 17 2 2" xfId="1672" xr:uid="{00000000-0005-0000-0000-0000E2050000}"/>
    <cellStyle name="60% - Ênfase6 17 3" xfId="1673" xr:uid="{00000000-0005-0000-0000-0000E3050000}"/>
    <cellStyle name="60% - Ênfase6 18" xfId="1674" xr:uid="{00000000-0005-0000-0000-0000E4050000}"/>
    <cellStyle name="60% - Ênfase6 18 2" xfId="1675" xr:uid="{00000000-0005-0000-0000-0000E5050000}"/>
    <cellStyle name="60% - Ênfase6 18 2 2" xfId="1676" xr:uid="{00000000-0005-0000-0000-0000E6050000}"/>
    <cellStyle name="60% - Ênfase6 18 3" xfId="1677" xr:uid="{00000000-0005-0000-0000-0000E7050000}"/>
    <cellStyle name="60% - Ênfase6 19" xfId="1678" xr:uid="{00000000-0005-0000-0000-0000E8050000}"/>
    <cellStyle name="60% - Ênfase6 19 2" xfId="1679" xr:uid="{00000000-0005-0000-0000-0000E9050000}"/>
    <cellStyle name="60% - Ênfase6 19 2 2" xfId="1680" xr:uid="{00000000-0005-0000-0000-0000EA050000}"/>
    <cellStyle name="60% - Ênfase6 19 3" xfId="1681" xr:uid="{00000000-0005-0000-0000-0000EB050000}"/>
    <cellStyle name="60% - Ênfase6 2" xfId="1682" xr:uid="{00000000-0005-0000-0000-0000EC050000}"/>
    <cellStyle name="60% - Ênfase6 2 2" xfId="1683" xr:uid="{00000000-0005-0000-0000-0000ED050000}"/>
    <cellStyle name="60% - Ênfase6 2 2 2" xfId="1684" xr:uid="{00000000-0005-0000-0000-0000EE050000}"/>
    <cellStyle name="60% - Ênfase6 2 2 2 2" xfId="1685" xr:uid="{00000000-0005-0000-0000-0000EF050000}"/>
    <cellStyle name="60% - Ênfase6 2 2 3" xfId="1686" xr:uid="{00000000-0005-0000-0000-0000F0050000}"/>
    <cellStyle name="60% - Ênfase6 2 3" xfId="1687" xr:uid="{00000000-0005-0000-0000-0000F1050000}"/>
    <cellStyle name="60% - Ênfase6 20" xfId="1688" xr:uid="{00000000-0005-0000-0000-0000F2050000}"/>
    <cellStyle name="60% - Ênfase6 20 2" xfId="1689" xr:uid="{00000000-0005-0000-0000-0000F3050000}"/>
    <cellStyle name="60% - Ênfase6 20 2 2" xfId="1690" xr:uid="{00000000-0005-0000-0000-0000F4050000}"/>
    <cellStyle name="60% - Ênfase6 20 3" xfId="1691" xr:uid="{00000000-0005-0000-0000-0000F5050000}"/>
    <cellStyle name="60% - Ênfase6 21" xfId="1692" xr:uid="{00000000-0005-0000-0000-0000F6050000}"/>
    <cellStyle name="60% - Ênfase6 21 2" xfId="1693" xr:uid="{00000000-0005-0000-0000-0000F7050000}"/>
    <cellStyle name="60% - Ênfase6 21 2 2" xfId="1694" xr:uid="{00000000-0005-0000-0000-0000F8050000}"/>
    <cellStyle name="60% - Ênfase6 21 3" xfId="1695" xr:uid="{00000000-0005-0000-0000-0000F9050000}"/>
    <cellStyle name="60% - Ênfase6 22" xfId="1696" xr:uid="{00000000-0005-0000-0000-0000FA050000}"/>
    <cellStyle name="60% - Ênfase6 22 2" xfId="1697" xr:uid="{00000000-0005-0000-0000-0000FB050000}"/>
    <cellStyle name="60% - Ênfase6 22 2 2" xfId="1698" xr:uid="{00000000-0005-0000-0000-0000FC050000}"/>
    <cellStyle name="60% - Ênfase6 22 3" xfId="1699" xr:uid="{00000000-0005-0000-0000-0000FD050000}"/>
    <cellStyle name="60% - Ênfase6 23" xfId="1700" xr:uid="{00000000-0005-0000-0000-0000FE050000}"/>
    <cellStyle name="60% - Ênfase6 23 2" xfId="1701" xr:uid="{00000000-0005-0000-0000-0000FF050000}"/>
    <cellStyle name="60% - Ênfase6 23 2 2" xfId="1702" xr:uid="{00000000-0005-0000-0000-000000060000}"/>
    <cellStyle name="60% - Ênfase6 23 3" xfId="1703" xr:uid="{00000000-0005-0000-0000-000001060000}"/>
    <cellStyle name="60% - Ênfase6 24" xfId="1704" xr:uid="{00000000-0005-0000-0000-000002060000}"/>
    <cellStyle name="60% - Ênfase6 24 2" xfId="1705" xr:uid="{00000000-0005-0000-0000-000003060000}"/>
    <cellStyle name="60% - Ênfase6 24 2 2" xfId="1706" xr:uid="{00000000-0005-0000-0000-000004060000}"/>
    <cellStyle name="60% - Ênfase6 24 3" xfId="1707" xr:uid="{00000000-0005-0000-0000-000005060000}"/>
    <cellStyle name="60% - Ênfase6 25" xfId="1708" xr:uid="{00000000-0005-0000-0000-000006060000}"/>
    <cellStyle name="60% - Ênfase6 25 2" xfId="1709" xr:uid="{00000000-0005-0000-0000-000007060000}"/>
    <cellStyle name="60% - Ênfase6 25 2 2" xfId="1710" xr:uid="{00000000-0005-0000-0000-000008060000}"/>
    <cellStyle name="60% - Ênfase6 25 3" xfId="1711" xr:uid="{00000000-0005-0000-0000-000009060000}"/>
    <cellStyle name="60% - Ênfase6 26" xfId="1712" xr:uid="{00000000-0005-0000-0000-00000A060000}"/>
    <cellStyle name="60% - Ênfase6 26 2" xfId="1713" xr:uid="{00000000-0005-0000-0000-00000B060000}"/>
    <cellStyle name="60% - Ênfase6 26 2 2" xfId="1714" xr:uid="{00000000-0005-0000-0000-00000C060000}"/>
    <cellStyle name="60% - Ênfase6 26 3" xfId="1715" xr:uid="{00000000-0005-0000-0000-00000D060000}"/>
    <cellStyle name="60% - Ênfase6 27" xfId="1716" xr:uid="{00000000-0005-0000-0000-00000E060000}"/>
    <cellStyle name="60% - Ênfase6 27 2" xfId="1717" xr:uid="{00000000-0005-0000-0000-00000F060000}"/>
    <cellStyle name="60% - Ênfase6 27 2 2" xfId="1718" xr:uid="{00000000-0005-0000-0000-000010060000}"/>
    <cellStyle name="60% - Ênfase6 27 3" xfId="1719" xr:uid="{00000000-0005-0000-0000-000011060000}"/>
    <cellStyle name="60% - Ênfase6 28" xfId="1720" xr:uid="{00000000-0005-0000-0000-000012060000}"/>
    <cellStyle name="60% - Ênfase6 28 2" xfId="1721" xr:uid="{00000000-0005-0000-0000-000013060000}"/>
    <cellStyle name="60% - Ênfase6 28 2 2" xfId="1722" xr:uid="{00000000-0005-0000-0000-000014060000}"/>
    <cellStyle name="60% - Ênfase6 28 3" xfId="1723" xr:uid="{00000000-0005-0000-0000-000015060000}"/>
    <cellStyle name="60% - Ênfase6 29" xfId="1724" xr:uid="{00000000-0005-0000-0000-000016060000}"/>
    <cellStyle name="60% - Ênfase6 29 2" xfId="1725" xr:uid="{00000000-0005-0000-0000-000017060000}"/>
    <cellStyle name="60% - Ênfase6 29 2 2" xfId="1726" xr:uid="{00000000-0005-0000-0000-000018060000}"/>
    <cellStyle name="60% - Ênfase6 29 3" xfId="1727" xr:uid="{00000000-0005-0000-0000-000019060000}"/>
    <cellStyle name="60% - Ênfase6 3" xfId="1728" xr:uid="{00000000-0005-0000-0000-00001A060000}"/>
    <cellStyle name="60% - Ênfase6 3 2" xfId="1729" xr:uid="{00000000-0005-0000-0000-00001B060000}"/>
    <cellStyle name="60% - Ênfase6 3 2 2" xfId="1730" xr:uid="{00000000-0005-0000-0000-00001C060000}"/>
    <cellStyle name="60% - Ênfase6 3 3" xfId="1731" xr:uid="{00000000-0005-0000-0000-00001D060000}"/>
    <cellStyle name="60% - Ênfase6 30" xfId="1732" xr:uid="{00000000-0005-0000-0000-00001E060000}"/>
    <cellStyle name="60% - Ênfase6 30 2" xfId="1733" xr:uid="{00000000-0005-0000-0000-00001F060000}"/>
    <cellStyle name="60% - Ênfase6 30 2 2" xfId="1734" xr:uid="{00000000-0005-0000-0000-000020060000}"/>
    <cellStyle name="60% - Ênfase6 30 3" xfId="1735" xr:uid="{00000000-0005-0000-0000-000021060000}"/>
    <cellStyle name="60% - Ênfase6 31" xfId="1736" xr:uid="{00000000-0005-0000-0000-000022060000}"/>
    <cellStyle name="60% - Ênfase6 31 2" xfId="1737" xr:uid="{00000000-0005-0000-0000-000023060000}"/>
    <cellStyle name="60% - Ênfase6 31 2 2" xfId="1738" xr:uid="{00000000-0005-0000-0000-000024060000}"/>
    <cellStyle name="60% - Ênfase6 31 3" xfId="1739" xr:uid="{00000000-0005-0000-0000-000025060000}"/>
    <cellStyle name="60% - Ênfase6 32" xfId="1740" xr:uid="{00000000-0005-0000-0000-000026060000}"/>
    <cellStyle name="60% - Ênfase6 32 2" xfId="1741" xr:uid="{00000000-0005-0000-0000-000027060000}"/>
    <cellStyle name="60% - Ênfase6 32 2 2" xfId="1742" xr:uid="{00000000-0005-0000-0000-000028060000}"/>
    <cellStyle name="60% - Ênfase6 32 3" xfId="1743" xr:uid="{00000000-0005-0000-0000-000029060000}"/>
    <cellStyle name="60% - Ênfase6 33" xfId="1744" xr:uid="{00000000-0005-0000-0000-00002A060000}"/>
    <cellStyle name="60% - Ênfase6 33 2" xfId="1745" xr:uid="{00000000-0005-0000-0000-00002B060000}"/>
    <cellStyle name="60% - Ênfase6 33 2 2" xfId="1746" xr:uid="{00000000-0005-0000-0000-00002C060000}"/>
    <cellStyle name="60% - Ênfase6 33 3" xfId="1747" xr:uid="{00000000-0005-0000-0000-00002D060000}"/>
    <cellStyle name="60% - Ênfase6 34" xfId="1748" xr:uid="{00000000-0005-0000-0000-00002E060000}"/>
    <cellStyle name="60% - Ênfase6 34 2" xfId="1749" xr:uid="{00000000-0005-0000-0000-00002F060000}"/>
    <cellStyle name="60% - Ênfase6 34 2 2" xfId="1750" xr:uid="{00000000-0005-0000-0000-000030060000}"/>
    <cellStyle name="60% - Ênfase6 34 3" xfId="1751" xr:uid="{00000000-0005-0000-0000-000031060000}"/>
    <cellStyle name="60% - Ênfase6 35" xfId="1752" xr:uid="{00000000-0005-0000-0000-000032060000}"/>
    <cellStyle name="60% - Ênfase6 35 2" xfId="1753" xr:uid="{00000000-0005-0000-0000-000033060000}"/>
    <cellStyle name="60% - Ênfase6 35 2 2" xfId="1754" xr:uid="{00000000-0005-0000-0000-000034060000}"/>
    <cellStyle name="60% - Ênfase6 35 3" xfId="1755" xr:uid="{00000000-0005-0000-0000-000035060000}"/>
    <cellStyle name="60% - Ênfase6 36" xfId="1756" xr:uid="{00000000-0005-0000-0000-000036060000}"/>
    <cellStyle name="60% - Ênfase6 36 2" xfId="1757" xr:uid="{00000000-0005-0000-0000-000037060000}"/>
    <cellStyle name="60% - Ênfase6 36 2 2" xfId="1758" xr:uid="{00000000-0005-0000-0000-000038060000}"/>
    <cellStyle name="60% - Ênfase6 36 3" xfId="1759" xr:uid="{00000000-0005-0000-0000-000039060000}"/>
    <cellStyle name="60% - Ênfase6 37" xfId="1760" xr:uid="{00000000-0005-0000-0000-00003A060000}"/>
    <cellStyle name="60% - Ênfase6 37 2" xfId="1761" xr:uid="{00000000-0005-0000-0000-00003B060000}"/>
    <cellStyle name="60% - Ênfase6 37 2 2" xfId="1762" xr:uid="{00000000-0005-0000-0000-00003C060000}"/>
    <cellStyle name="60% - Ênfase6 37 3" xfId="1763" xr:uid="{00000000-0005-0000-0000-00003D060000}"/>
    <cellStyle name="60% - Ênfase6 4" xfId="1764" xr:uid="{00000000-0005-0000-0000-00003E060000}"/>
    <cellStyle name="60% - Ênfase6 4 2" xfId="1765" xr:uid="{00000000-0005-0000-0000-00003F060000}"/>
    <cellStyle name="60% - Ênfase6 4 2 2" xfId="1766" xr:uid="{00000000-0005-0000-0000-000040060000}"/>
    <cellStyle name="60% - Ênfase6 4 3" xfId="1767" xr:uid="{00000000-0005-0000-0000-000041060000}"/>
    <cellStyle name="60% - Ênfase6 5" xfId="1768" xr:uid="{00000000-0005-0000-0000-000042060000}"/>
    <cellStyle name="60% - Ênfase6 5 2" xfId="1769" xr:uid="{00000000-0005-0000-0000-000043060000}"/>
    <cellStyle name="60% - Ênfase6 5 2 2" xfId="1770" xr:uid="{00000000-0005-0000-0000-000044060000}"/>
    <cellStyle name="60% - Ênfase6 5 3" xfId="1771" xr:uid="{00000000-0005-0000-0000-000045060000}"/>
    <cellStyle name="60% - Ênfase6 6" xfId="1772" xr:uid="{00000000-0005-0000-0000-000046060000}"/>
    <cellStyle name="60% - Ênfase6 6 2" xfId="1773" xr:uid="{00000000-0005-0000-0000-000047060000}"/>
    <cellStyle name="60% - Ênfase6 6 2 2" xfId="1774" xr:uid="{00000000-0005-0000-0000-000048060000}"/>
    <cellStyle name="60% - Ênfase6 6 3" xfId="1775" xr:uid="{00000000-0005-0000-0000-000049060000}"/>
    <cellStyle name="60% - Ênfase6 7" xfId="1776" xr:uid="{00000000-0005-0000-0000-00004A060000}"/>
    <cellStyle name="60% - Ênfase6 7 2" xfId="1777" xr:uid="{00000000-0005-0000-0000-00004B060000}"/>
    <cellStyle name="60% - Ênfase6 7 2 2" xfId="1778" xr:uid="{00000000-0005-0000-0000-00004C060000}"/>
    <cellStyle name="60% - Ênfase6 7 3" xfId="1779" xr:uid="{00000000-0005-0000-0000-00004D060000}"/>
    <cellStyle name="60% - Ênfase6 8" xfId="1780" xr:uid="{00000000-0005-0000-0000-00004E060000}"/>
    <cellStyle name="60% - Ênfase6 8 2" xfId="1781" xr:uid="{00000000-0005-0000-0000-00004F060000}"/>
    <cellStyle name="60% - Ênfase6 8 2 2" xfId="1782" xr:uid="{00000000-0005-0000-0000-000050060000}"/>
    <cellStyle name="60% - Ênfase6 8 3" xfId="1783" xr:uid="{00000000-0005-0000-0000-000051060000}"/>
    <cellStyle name="60% - Ênfase6 9" xfId="1784" xr:uid="{00000000-0005-0000-0000-000052060000}"/>
    <cellStyle name="60% - Ênfase6 9 2" xfId="1785" xr:uid="{00000000-0005-0000-0000-000053060000}"/>
    <cellStyle name="60% - Ênfase6 9 2 2" xfId="1786" xr:uid="{00000000-0005-0000-0000-000054060000}"/>
    <cellStyle name="60% - Ênfase6 9 3" xfId="1787" xr:uid="{00000000-0005-0000-0000-000055060000}"/>
    <cellStyle name="Accent1" xfId="63" xr:uid="{00000000-0005-0000-0000-000056060000}"/>
    <cellStyle name="Accent2" xfId="64" xr:uid="{00000000-0005-0000-0000-000057060000}"/>
    <cellStyle name="Accent3" xfId="65" xr:uid="{00000000-0005-0000-0000-000058060000}"/>
    <cellStyle name="Accent4" xfId="66" xr:uid="{00000000-0005-0000-0000-000059060000}"/>
    <cellStyle name="Accent5" xfId="67" xr:uid="{00000000-0005-0000-0000-00005A060000}"/>
    <cellStyle name="Accent6" xfId="68" xr:uid="{00000000-0005-0000-0000-00005B060000}"/>
    <cellStyle name="Bad" xfId="69" xr:uid="{00000000-0005-0000-0000-00005C060000}"/>
    <cellStyle name="Bom 10" xfId="1788" xr:uid="{00000000-0005-0000-0000-00005D060000}"/>
    <cellStyle name="Bom 10 2" xfId="1789" xr:uid="{00000000-0005-0000-0000-00005E060000}"/>
    <cellStyle name="Bom 11" xfId="1790" xr:uid="{00000000-0005-0000-0000-00005F060000}"/>
    <cellStyle name="Bom 11 2" xfId="1791" xr:uid="{00000000-0005-0000-0000-000060060000}"/>
    <cellStyle name="Bom 12" xfId="1792" xr:uid="{00000000-0005-0000-0000-000061060000}"/>
    <cellStyle name="Bom 12 2" xfId="1793" xr:uid="{00000000-0005-0000-0000-000062060000}"/>
    <cellStyle name="Bom 13" xfId="1794" xr:uid="{00000000-0005-0000-0000-000063060000}"/>
    <cellStyle name="Bom 13 2" xfId="1795" xr:uid="{00000000-0005-0000-0000-000064060000}"/>
    <cellStyle name="Bom 14" xfId="1796" xr:uid="{00000000-0005-0000-0000-000065060000}"/>
    <cellStyle name="Bom 14 2" xfId="1797" xr:uid="{00000000-0005-0000-0000-000066060000}"/>
    <cellStyle name="Bom 15" xfId="1798" xr:uid="{00000000-0005-0000-0000-000067060000}"/>
    <cellStyle name="Bom 15 2" xfId="1799" xr:uid="{00000000-0005-0000-0000-000068060000}"/>
    <cellStyle name="Bom 16" xfId="1800" xr:uid="{00000000-0005-0000-0000-000069060000}"/>
    <cellStyle name="Bom 16 2" xfId="1801" xr:uid="{00000000-0005-0000-0000-00006A060000}"/>
    <cellStyle name="Bom 17" xfId="1802" xr:uid="{00000000-0005-0000-0000-00006B060000}"/>
    <cellStyle name="Bom 17 2" xfId="1803" xr:uid="{00000000-0005-0000-0000-00006C060000}"/>
    <cellStyle name="Bom 18" xfId="1804" xr:uid="{00000000-0005-0000-0000-00006D060000}"/>
    <cellStyle name="Bom 18 2" xfId="1805" xr:uid="{00000000-0005-0000-0000-00006E060000}"/>
    <cellStyle name="Bom 19" xfId="1806" xr:uid="{00000000-0005-0000-0000-00006F060000}"/>
    <cellStyle name="Bom 19 2" xfId="1807" xr:uid="{00000000-0005-0000-0000-000070060000}"/>
    <cellStyle name="Bom 2" xfId="1808" xr:uid="{00000000-0005-0000-0000-000071060000}"/>
    <cellStyle name="Bom 2 2" xfId="1809" xr:uid="{00000000-0005-0000-0000-000072060000}"/>
    <cellStyle name="Bom 2 2 2" xfId="1810" xr:uid="{00000000-0005-0000-0000-000073060000}"/>
    <cellStyle name="Bom 20" xfId="1811" xr:uid="{00000000-0005-0000-0000-000074060000}"/>
    <cellStyle name="Bom 20 2" xfId="1812" xr:uid="{00000000-0005-0000-0000-000075060000}"/>
    <cellStyle name="Bom 21" xfId="1813" xr:uid="{00000000-0005-0000-0000-000076060000}"/>
    <cellStyle name="Bom 21 2" xfId="1814" xr:uid="{00000000-0005-0000-0000-000077060000}"/>
    <cellStyle name="Bom 22" xfId="1815" xr:uid="{00000000-0005-0000-0000-000078060000}"/>
    <cellStyle name="Bom 22 2" xfId="1816" xr:uid="{00000000-0005-0000-0000-000079060000}"/>
    <cellStyle name="Bom 23" xfId="1817" xr:uid="{00000000-0005-0000-0000-00007A060000}"/>
    <cellStyle name="Bom 23 2" xfId="1818" xr:uid="{00000000-0005-0000-0000-00007B060000}"/>
    <cellStyle name="Bom 24" xfId="1819" xr:uid="{00000000-0005-0000-0000-00007C060000}"/>
    <cellStyle name="Bom 24 2" xfId="1820" xr:uid="{00000000-0005-0000-0000-00007D060000}"/>
    <cellStyle name="Bom 25" xfId="1821" xr:uid="{00000000-0005-0000-0000-00007E060000}"/>
    <cellStyle name="Bom 25 2" xfId="1822" xr:uid="{00000000-0005-0000-0000-00007F060000}"/>
    <cellStyle name="Bom 26" xfId="1823" xr:uid="{00000000-0005-0000-0000-000080060000}"/>
    <cellStyle name="Bom 26 2" xfId="1824" xr:uid="{00000000-0005-0000-0000-000081060000}"/>
    <cellStyle name="Bom 27" xfId="1825" xr:uid="{00000000-0005-0000-0000-000082060000}"/>
    <cellStyle name="Bom 27 2" xfId="1826" xr:uid="{00000000-0005-0000-0000-000083060000}"/>
    <cellStyle name="Bom 28" xfId="1827" xr:uid="{00000000-0005-0000-0000-000084060000}"/>
    <cellStyle name="Bom 28 2" xfId="1828" xr:uid="{00000000-0005-0000-0000-000085060000}"/>
    <cellStyle name="Bom 29" xfId="1829" xr:uid="{00000000-0005-0000-0000-000086060000}"/>
    <cellStyle name="Bom 29 2" xfId="1830" xr:uid="{00000000-0005-0000-0000-000087060000}"/>
    <cellStyle name="Bom 3" xfId="1831" xr:uid="{00000000-0005-0000-0000-000088060000}"/>
    <cellStyle name="Bom 3 2" xfId="1832" xr:uid="{00000000-0005-0000-0000-000089060000}"/>
    <cellStyle name="Bom 30" xfId="1833" xr:uid="{00000000-0005-0000-0000-00008A060000}"/>
    <cellStyle name="Bom 30 2" xfId="1834" xr:uid="{00000000-0005-0000-0000-00008B060000}"/>
    <cellStyle name="Bom 31" xfId="1835" xr:uid="{00000000-0005-0000-0000-00008C060000}"/>
    <cellStyle name="Bom 31 2" xfId="1836" xr:uid="{00000000-0005-0000-0000-00008D060000}"/>
    <cellStyle name="Bom 32" xfId="1837" xr:uid="{00000000-0005-0000-0000-00008E060000}"/>
    <cellStyle name="Bom 32 2" xfId="1838" xr:uid="{00000000-0005-0000-0000-00008F060000}"/>
    <cellStyle name="Bom 33" xfId="1839" xr:uid="{00000000-0005-0000-0000-000090060000}"/>
    <cellStyle name="Bom 33 2" xfId="1840" xr:uid="{00000000-0005-0000-0000-000091060000}"/>
    <cellStyle name="Bom 34" xfId="1841" xr:uid="{00000000-0005-0000-0000-000092060000}"/>
    <cellStyle name="Bom 34 2" xfId="1842" xr:uid="{00000000-0005-0000-0000-000093060000}"/>
    <cellStyle name="Bom 35" xfId="1843" xr:uid="{00000000-0005-0000-0000-000094060000}"/>
    <cellStyle name="Bom 35 2" xfId="1844" xr:uid="{00000000-0005-0000-0000-000095060000}"/>
    <cellStyle name="Bom 36" xfId="1845" xr:uid="{00000000-0005-0000-0000-000096060000}"/>
    <cellStyle name="Bom 36 2" xfId="1846" xr:uid="{00000000-0005-0000-0000-000097060000}"/>
    <cellStyle name="Bom 37" xfId="1847" xr:uid="{00000000-0005-0000-0000-000098060000}"/>
    <cellStyle name="Bom 37 2" xfId="1848" xr:uid="{00000000-0005-0000-0000-000099060000}"/>
    <cellStyle name="Bom 4" xfId="1849" xr:uid="{00000000-0005-0000-0000-00009A060000}"/>
    <cellStyle name="Bom 4 2" xfId="1850" xr:uid="{00000000-0005-0000-0000-00009B060000}"/>
    <cellStyle name="Bom 5" xfId="1851" xr:uid="{00000000-0005-0000-0000-00009C060000}"/>
    <cellStyle name="Bom 5 2" xfId="1852" xr:uid="{00000000-0005-0000-0000-00009D060000}"/>
    <cellStyle name="Bom 6" xfId="1853" xr:uid="{00000000-0005-0000-0000-00009E060000}"/>
    <cellStyle name="Bom 6 2" xfId="1854" xr:uid="{00000000-0005-0000-0000-00009F060000}"/>
    <cellStyle name="Bom 7" xfId="1855" xr:uid="{00000000-0005-0000-0000-0000A0060000}"/>
    <cellStyle name="Bom 7 2" xfId="1856" xr:uid="{00000000-0005-0000-0000-0000A1060000}"/>
    <cellStyle name="Bom 8" xfId="1857" xr:uid="{00000000-0005-0000-0000-0000A2060000}"/>
    <cellStyle name="Bom 8 2" xfId="1858" xr:uid="{00000000-0005-0000-0000-0000A3060000}"/>
    <cellStyle name="Bom 9" xfId="1859" xr:uid="{00000000-0005-0000-0000-0000A4060000}"/>
    <cellStyle name="Bom 9 2" xfId="1860" xr:uid="{00000000-0005-0000-0000-0000A5060000}"/>
    <cellStyle name="Calculation" xfId="70" xr:uid="{00000000-0005-0000-0000-0000A6060000}"/>
    <cellStyle name="Cálculo 10" xfId="1861" xr:uid="{00000000-0005-0000-0000-0000A7060000}"/>
    <cellStyle name="Cálculo 10 2" xfId="1862" xr:uid="{00000000-0005-0000-0000-0000A8060000}"/>
    <cellStyle name="Cálculo 11" xfId="1863" xr:uid="{00000000-0005-0000-0000-0000A9060000}"/>
    <cellStyle name="Cálculo 11 2" xfId="1864" xr:uid="{00000000-0005-0000-0000-0000AA060000}"/>
    <cellStyle name="Cálculo 12" xfId="1865" xr:uid="{00000000-0005-0000-0000-0000AB060000}"/>
    <cellStyle name="Cálculo 12 2" xfId="1866" xr:uid="{00000000-0005-0000-0000-0000AC060000}"/>
    <cellStyle name="Cálculo 13" xfId="1867" xr:uid="{00000000-0005-0000-0000-0000AD060000}"/>
    <cellStyle name="Cálculo 13 2" xfId="1868" xr:uid="{00000000-0005-0000-0000-0000AE060000}"/>
    <cellStyle name="Cálculo 14" xfId="1869" xr:uid="{00000000-0005-0000-0000-0000AF060000}"/>
    <cellStyle name="Cálculo 14 2" xfId="1870" xr:uid="{00000000-0005-0000-0000-0000B0060000}"/>
    <cellStyle name="Cálculo 15" xfId="1871" xr:uid="{00000000-0005-0000-0000-0000B1060000}"/>
    <cellStyle name="Cálculo 15 2" xfId="1872" xr:uid="{00000000-0005-0000-0000-0000B2060000}"/>
    <cellStyle name="Cálculo 16" xfId="1873" xr:uid="{00000000-0005-0000-0000-0000B3060000}"/>
    <cellStyle name="Cálculo 16 2" xfId="1874" xr:uid="{00000000-0005-0000-0000-0000B4060000}"/>
    <cellStyle name="Cálculo 17" xfId="1875" xr:uid="{00000000-0005-0000-0000-0000B5060000}"/>
    <cellStyle name="Cálculo 17 2" xfId="1876" xr:uid="{00000000-0005-0000-0000-0000B6060000}"/>
    <cellStyle name="Cálculo 18" xfId="1877" xr:uid="{00000000-0005-0000-0000-0000B7060000}"/>
    <cellStyle name="Cálculo 18 2" xfId="1878" xr:uid="{00000000-0005-0000-0000-0000B8060000}"/>
    <cellStyle name="Cálculo 19" xfId="1879" xr:uid="{00000000-0005-0000-0000-0000B9060000}"/>
    <cellStyle name="Cálculo 19 2" xfId="1880" xr:uid="{00000000-0005-0000-0000-0000BA060000}"/>
    <cellStyle name="Cálculo 2" xfId="1881" xr:uid="{00000000-0005-0000-0000-0000BB060000}"/>
    <cellStyle name="Cálculo 2 2" xfId="1882" xr:uid="{00000000-0005-0000-0000-0000BC060000}"/>
    <cellStyle name="Cálculo 2 2 2" xfId="1883" xr:uid="{00000000-0005-0000-0000-0000BD060000}"/>
    <cellStyle name="Cálculo 2 2 3" xfId="1884" xr:uid="{00000000-0005-0000-0000-0000BE060000}"/>
    <cellStyle name="Cálculo 20" xfId="1885" xr:uid="{00000000-0005-0000-0000-0000BF060000}"/>
    <cellStyle name="Cálculo 20 2" xfId="1886" xr:uid="{00000000-0005-0000-0000-0000C0060000}"/>
    <cellStyle name="Cálculo 21" xfId="1887" xr:uid="{00000000-0005-0000-0000-0000C1060000}"/>
    <cellStyle name="Cálculo 21 2" xfId="1888" xr:uid="{00000000-0005-0000-0000-0000C2060000}"/>
    <cellStyle name="Cálculo 22" xfId="1889" xr:uid="{00000000-0005-0000-0000-0000C3060000}"/>
    <cellStyle name="Cálculo 22 2" xfId="1890" xr:uid="{00000000-0005-0000-0000-0000C4060000}"/>
    <cellStyle name="Cálculo 23" xfId="1891" xr:uid="{00000000-0005-0000-0000-0000C5060000}"/>
    <cellStyle name="Cálculo 23 2" xfId="1892" xr:uid="{00000000-0005-0000-0000-0000C6060000}"/>
    <cellStyle name="Cálculo 24" xfId="1893" xr:uid="{00000000-0005-0000-0000-0000C7060000}"/>
    <cellStyle name="Cálculo 24 2" xfId="1894" xr:uid="{00000000-0005-0000-0000-0000C8060000}"/>
    <cellStyle name="Cálculo 25" xfId="1895" xr:uid="{00000000-0005-0000-0000-0000C9060000}"/>
    <cellStyle name="Cálculo 25 2" xfId="1896" xr:uid="{00000000-0005-0000-0000-0000CA060000}"/>
    <cellStyle name="Cálculo 26" xfId="1897" xr:uid="{00000000-0005-0000-0000-0000CB060000}"/>
    <cellStyle name="Cálculo 26 2" xfId="1898" xr:uid="{00000000-0005-0000-0000-0000CC060000}"/>
    <cellStyle name="Cálculo 27" xfId="1899" xr:uid="{00000000-0005-0000-0000-0000CD060000}"/>
    <cellStyle name="Cálculo 27 2" xfId="1900" xr:uid="{00000000-0005-0000-0000-0000CE060000}"/>
    <cellStyle name="Cálculo 28" xfId="1901" xr:uid="{00000000-0005-0000-0000-0000CF060000}"/>
    <cellStyle name="Cálculo 28 2" xfId="1902" xr:uid="{00000000-0005-0000-0000-0000D0060000}"/>
    <cellStyle name="Cálculo 29" xfId="1903" xr:uid="{00000000-0005-0000-0000-0000D1060000}"/>
    <cellStyle name="Cálculo 29 2" xfId="1904" xr:uid="{00000000-0005-0000-0000-0000D2060000}"/>
    <cellStyle name="Cálculo 3" xfId="1905" xr:uid="{00000000-0005-0000-0000-0000D3060000}"/>
    <cellStyle name="Cálculo 3 2" xfId="1906" xr:uid="{00000000-0005-0000-0000-0000D4060000}"/>
    <cellStyle name="Cálculo 30" xfId="1907" xr:uid="{00000000-0005-0000-0000-0000D5060000}"/>
    <cellStyle name="Cálculo 30 2" xfId="1908" xr:uid="{00000000-0005-0000-0000-0000D6060000}"/>
    <cellStyle name="Cálculo 31" xfId="1909" xr:uid="{00000000-0005-0000-0000-0000D7060000}"/>
    <cellStyle name="Cálculo 31 2" xfId="1910" xr:uid="{00000000-0005-0000-0000-0000D8060000}"/>
    <cellStyle name="Cálculo 32" xfId="1911" xr:uid="{00000000-0005-0000-0000-0000D9060000}"/>
    <cellStyle name="Cálculo 32 2" xfId="1912" xr:uid="{00000000-0005-0000-0000-0000DA060000}"/>
    <cellStyle name="Cálculo 33" xfId="1913" xr:uid="{00000000-0005-0000-0000-0000DB060000}"/>
    <cellStyle name="Cálculo 33 2" xfId="1914" xr:uid="{00000000-0005-0000-0000-0000DC060000}"/>
    <cellStyle name="Cálculo 34" xfId="1915" xr:uid="{00000000-0005-0000-0000-0000DD060000}"/>
    <cellStyle name="Cálculo 34 2" xfId="1916" xr:uid="{00000000-0005-0000-0000-0000DE060000}"/>
    <cellStyle name="Cálculo 35" xfId="1917" xr:uid="{00000000-0005-0000-0000-0000DF060000}"/>
    <cellStyle name="Cálculo 35 2" xfId="1918" xr:uid="{00000000-0005-0000-0000-0000E0060000}"/>
    <cellStyle name="Cálculo 36" xfId="1919" xr:uid="{00000000-0005-0000-0000-0000E1060000}"/>
    <cellStyle name="Cálculo 36 2" xfId="1920" xr:uid="{00000000-0005-0000-0000-0000E2060000}"/>
    <cellStyle name="Cálculo 37" xfId="1921" xr:uid="{00000000-0005-0000-0000-0000E3060000}"/>
    <cellStyle name="Cálculo 37 2" xfId="1922" xr:uid="{00000000-0005-0000-0000-0000E4060000}"/>
    <cellStyle name="Cálculo 4" xfId="1923" xr:uid="{00000000-0005-0000-0000-0000E5060000}"/>
    <cellStyle name="Cálculo 4 2" xfId="1924" xr:uid="{00000000-0005-0000-0000-0000E6060000}"/>
    <cellStyle name="Cálculo 5" xfId="1925" xr:uid="{00000000-0005-0000-0000-0000E7060000}"/>
    <cellStyle name="Cálculo 5 2" xfId="1926" xr:uid="{00000000-0005-0000-0000-0000E8060000}"/>
    <cellStyle name="Cálculo 6" xfId="1927" xr:uid="{00000000-0005-0000-0000-0000E9060000}"/>
    <cellStyle name="Cálculo 6 2" xfId="1928" xr:uid="{00000000-0005-0000-0000-0000EA060000}"/>
    <cellStyle name="Cálculo 7" xfId="1929" xr:uid="{00000000-0005-0000-0000-0000EB060000}"/>
    <cellStyle name="Cálculo 7 2" xfId="1930" xr:uid="{00000000-0005-0000-0000-0000EC060000}"/>
    <cellStyle name="Cálculo 8" xfId="1931" xr:uid="{00000000-0005-0000-0000-0000ED060000}"/>
    <cellStyle name="Cálculo 8 2" xfId="1932" xr:uid="{00000000-0005-0000-0000-0000EE060000}"/>
    <cellStyle name="Cálculo 9" xfId="1933" xr:uid="{00000000-0005-0000-0000-0000EF060000}"/>
    <cellStyle name="Cálculo 9 2" xfId="1934" xr:uid="{00000000-0005-0000-0000-0000F0060000}"/>
    <cellStyle name="Célula de Verificação 10" xfId="1935" xr:uid="{00000000-0005-0000-0000-0000F1060000}"/>
    <cellStyle name="Célula de Verificação 10 2" xfId="1936" xr:uid="{00000000-0005-0000-0000-0000F2060000}"/>
    <cellStyle name="Célula de Verificação 10 2 2" xfId="1937" xr:uid="{00000000-0005-0000-0000-0000F3060000}"/>
    <cellStyle name="Célula de Verificação 10 3" xfId="1938" xr:uid="{00000000-0005-0000-0000-0000F4060000}"/>
    <cellStyle name="Célula de Verificação 11" xfId="1939" xr:uid="{00000000-0005-0000-0000-0000F5060000}"/>
    <cellStyle name="Célula de Verificação 11 2" xfId="1940" xr:uid="{00000000-0005-0000-0000-0000F6060000}"/>
    <cellStyle name="Célula de Verificação 11 2 2" xfId="1941" xr:uid="{00000000-0005-0000-0000-0000F7060000}"/>
    <cellStyle name="Célula de Verificação 11 3" xfId="1942" xr:uid="{00000000-0005-0000-0000-0000F8060000}"/>
    <cellStyle name="Célula de Verificação 12" xfId="1943" xr:uid="{00000000-0005-0000-0000-0000F9060000}"/>
    <cellStyle name="Célula de Verificação 12 2" xfId="1944" xr:uid="{00000000-0005-0000-0000-0000FA060000}"/>
    <cellStyle name="Célula de Verificação 12 2 2" xfId="1945" xr:uid="{00000000-0005-0000-0000-0000FB060000}"/>
    <cellStyle name="Célula de Verificação 12 3" xfId="1946" xr:uid="{00000000-0005-0000-0000-0000FC060000}"/>
    <cellStyle name="Célula de Verificação 13" xfId="1947" xr:uid="{00000000-0005-0000-0000-0000FD060000}"/>
    <cellStyle name="Célula de Verificação 13 2" xfId="1948" xr:uid="{00000000-0005-0000-0000-0000FE060000}"/>
    <cellStyle name="Célula de Verificação 13 2 2" xfId="1949" xr:uid="{00000000-0005-0000-0000-0000FF060000}"/>
    <cellStyle name="Célula de Verificação 13 3" xfId="1950" xr:uid="{00000000-0005-0000-0000-000000070000}"/>
    <cellStyle name="Célula de Verificação 14" xfId="1951" xr:uid="{00000000-0005-0000-0000-000001070000}"/>
    <cellStyle name="Célula de Verificação 14 2" xfId="1952" xr:uid="{00000000-0005-0000-0000-000002070000}"/>
    <cellStyle name="Célula de Verificação 14 2 2" xfId="1953" xr:uid="{00000000-0005-0000-0000-000003070000}"/>
    <cellStyle name="Célula de Verificação 14 3" xfId="1954" xr:uid="{00000000-0005-0000-0000-000004070000}"/>
    <cellStyle name="Célula de Verificação 15" xfId="1955" xr:uid="{00000000-0005-0000-0000-000005070000}"/>
    <cellStyle name="Célula de Verificação 15 2" xfId="1956" xr:uid="{00000000-0005-0000-0000-000006070000}"/>
    <cellStyle name="Célula de Verificação 15 2 2" xfId="1957" xr:uid="{00000000-0005-0000-0000-000007070000}"/>
    <cellStyle name="Célula de Verificação 15 3" xfId="1958" xr:uid="{00000000-0005-0000-0000-000008070000}"/>
    <cellStyle name="Célula de Verificação 16" xfId="1959" xr:uid="{00000000-0005-0000-0000-000009070000}"/>
    <cellStyle name="Célula de Verificação 16 2" xfId="1960" xr:uid="{00000000-0005-0000-0000-00000A070000}"/>
    <cellStyle name="Célula de Verificação 16 2 2" xfId="1961" xr:uid="{00000000-0005-0000-0000-00000B070000}"/>
    <cellStyle name="Célula de Verificação 16 3" xfId="1962" xr:uid="{00000000-0005-0000-0000-00000C070000}"/>
    <cellStyle name="Célula de Verificação 17" xfId="1963" xr:uid="{00000000-0005-0000-0000-00000D070000}"/>
    <cellStyle name="Célula de Verificação 17 2" xfId="1964" xr:uid="{00000000-0005-0000-0000-00000E070000}"/>
    <cellStyle name="Célula de Verificação 17 2 2" xfId="1965" xr:uid="{00000000-0005-0000-0000-00000F070000}"/>
    <cellStyle name="Célula de Verificação 17 3" xfId="1966" xr:uid="{00000000-0005-0000-0000-000010070000}"/>
    <cellStyle name="Célula de Verificação 18" xfId="1967" xr:uid="{00000000-0005-0000-0000-000011070000}"/>
    <cellStyle name="Célula de Verificação 18 2" xfId="1968" xr:uid="{00000000-0005-0000-0000-000012070000}"/>
    <cellStyle name="Célula de Verificação 18 2 2" xfId="1969" xr:uid="{00000000-0005-0000-0000-000013070000}"/>
    <cellStyle name="Célula de Verificação 18 3" xfId="1970" xr:uid="{00000000-0005-0000-0000-000014070000}"/>
    <cellStyle name="Célula de Verificação 19" xfId="1971" xr:uid="{00000000-0005-0000-0000-000015070000}"/>
    <cellStyle name="Célula de Verificação 19 2" xfId="1972" xr:uid="{00000000-0005-0000-0000-000016070000}"/>
    <cellStyle name="Célula de Verificação 19 2 2" xfId="1973" xr:uid="{00000000-0005-0000-0000-000017070000}"/>
    <cellStyle name="Célula de Verificação 19 3" xfId="1974" xr:uid="{00000000-0005-0000-0000-000018070000}"/>
    <cellStyle name="Célula de Verificação 2" xfId="1975" xr:uid="{00000000-0005-0000-0000-000019070000}"/>
    <cellStyle name="Célula de Verificação 2 2" xfId="1976" xr:uid="{00000000-0005-0000-0000-00001A070000}"/>
    <cellStyle name="Célula de Verificação 2 2 2" xfId="1977" xr:uid="{00000000-0005-0000-0000-00001B070000}"/>
    <cellStyle name="Célula de Verificação 2 2 2 2" xfId="1978" xr:uid="{00000000-0005-0000-0000-00001C070000}"/>
    <cellStyle name="Célula de Verificação 2 2 3" xfId="1979" xr:uid="{00000000-0005-0000-0000-00001D070000}"/>
    <cellStyle name="Célula de Verificação 2 3" xfId="1980" xr:uid="{00000000-0005-0000-0000-00001E070000}"/>
    <cellStyle name="Célula de Verificação 20" xfId="1981" xr:uid="{00000000-0005-0000-0000-00001F070000}"/>
    <cellStyle name="Célula de Verificação 20 2" xfId="1982" xr:uid="{00000000-0005-0000-0000-000020070000}"/>
    <cellStyle name="Célula de Verificação 20 2 2" xfId="1983" xr:uid="{00000000-0005-0000-0000-000021070000}"/>
    <cellStyle name="Célula de Verificação 20 3" xfId="1984" xr:uid="{00000000-0005-0000-0000-000022070000}"/>
    <cellStyle name="Célula de Verificação 21" xfId="1985" xr:uid="{00000000-0005-0000-0000-000023070000}"/>
    <cellStyle name="Célula de Verificação 21 2" xfId="1986" xr:uid="{00000000-0005-0000-0000-000024070000}"/>
    <cellStyle name="Célula de Verificação 21 2 2" xfId="1987" xr:uid="{00000000-0005-0000-0000-000025070000}"/>
    <cellStyle name="Célula de Verificação 21 3" xfId="1988" xr:uid="{00000000-0005-0000-0000-000026070000}"/>
    <cellStyle name="Célula de Verificação 22" xfId="1989" xr:uid="{00000000-0005-0000-0000-000027070000}"/>
    <cellStyle name="Célula de Verificação 22 2" xfId="1990" xr:uid="{00000000-0005-0000-0000-000028070000}"/>
    <cellStyle name="Célula de Verificação 22 2 2" xfId="1991" xr:uid="{00000000-0005-0000-0000-000029070000}"/>
    <cellStyle name="Célula de Verificação 22 3" xfId="1992" xr:uid="{00000000-0005-0000-0000-00002A070000}"/>
    <cellStyle name="Célula de Verificação 23" xfId="1993" xr:uid="{00000000-0005-0000-0000-00002B070000}"/>
    <cellStyle name="Célula de Verificação 23 2" xfId="1994" xr:uid="{00000000-0005-0000-0000-00002C070000}"/>
    <cellStyle name="Célula de Verificação 23 2 2" xfId="1995" xr:uid="{00000000-0005-0000-0000-00002D070000}"/>
    <cellStyle name="Célula de Verificação 23 3" xfId="1996" xr:uid="{00000000-0005-0000-0000-00002E070000}"/>
    <cellStyle name="Célula de Verificação 24" xfId="1997" xr:uid="{00000000-0005-0000-0000-00002F070000}"/>
    <cellStyle name="Célula de Verificação 24 2" xfId="1998" xr:uid="{00000000-0005-0000-0000-000030070000}"/>
    <cellStyle name="Célula de Verificação 24 2 2" xfId="1999" xr:uid="{00000000-0005-0000-0000-000031070000}"/>
    <cellStyle name="Célula de Verificação 24 3" xfId="2000" xr:uid="{00000000-0005-0000-0000-000032070000}"/>
    <cellStyle name="Célula de Verificação 25" xfId="2001" xr:uid="{00000000-0005-0000-0000-000033070000}"/>
    <cellStyle name="Célula de Verificação 25 2" xfId="2002" xr:uid="{00000000-0005-0000-0000-000034070000}"/>
    <cellStyle name="Célula de Verificação 25 2 2" xfId="2003" xr:uid="{00000000-0005-0000-0000-000035070000}"/>
    <cellStyle name="Célula de Verificação 25 3" xfId="2004" xr:uid="{00000000-0005-0000-0000-000036070000}"/>
    <cellStyle name="Célula de Verificação 26" xfId="2005" xr:uid="{00000000-0005-0000-0000-000037070000}"/>
    <cellStyle name="Célula de Verificação 26 2" xfId="2006" xr:uid="{00000000-0005-0000-0000-000038070000}"/>
    <cellStyle name="Célula de Verificação 26 2 2" xfId="2007" xr:uid="{00000000-0005-0000-0000-000039070000}"/>
    <cellStyle name="Célula de Verificação 26 3" xfId="2008" xr:uid="{00000000-0005-0000-0000-00003A070000}"/>
    <cellStyle name="Célula de Verificação 27" xfId="2009" xr:uid="{00000000-0005-0000-0000-00003B070000}"/>
    <cellStyle name="Célula de Verificação 27 2" xfId="2010" xr:uid="{00000000-0005-0000-0000-00003C070000}"/>
    <cellStyle name="Célula de Verificação 27 2 2" xfId="2011" xr:uid="{00000000-0005-0000-0000-00003D070000}"/>
    <cellStyle name="Célula de Verificação 27 3" xfId="2012" xr:uid="{00000000-0005-0000-0000-00003E070000}"/>
    <cellStyle name="Célula de Verificação 28" xfId="2013" xr:uid="{00000000-0005-0000-0000-00003F070000}"/>
    <cellStyle name="Célula de Verificação 28 2" xfId="2014" xr:uid="{00000000-0005-0000-0000-000040070000}"/>
    <cellStyle name="Célula de Verificação 28 2 2" xfId="2015" xr:uid="{00000000-0005-0000-0000-000041070000}"/>
    <cellStyle name="Célula de Verificação 28 3" xfId="2016" xr:uid="{00000000-0005-0000-0000-000042070000}"/>
    <cellStyle name="Célula de Verificação 29" xfId="2017" xr:uid="{00000000-0005-0000-0000-000043070000}"/>
    <cellStyle name="Célula de Verificação 29 2" xfId="2018" xr:uid="{00000000-0005-0000-0000-000044070000}"/>
    <cellStyle name="Célula de Verificação 29 2 2" xfId="2019" xr:uid="{00000000-0005-0000-0000-000045070000}"/>
    <cellStyle name="Célula de Verificação 29 3" xfId="2020" xr:uid="{00000000-0005-0000-0000-000046070000}"/>
    <cellStyle name="Célula de Verificação 3" xfId="2021" xr:uid="{00000000-0005-0000-0000-000047070000}"/>
    <cellStyle name="Célula de Verificação 3 2" xfId="2022" xr:uid="{00000000-0005-0000-0000-000048070000}"/>
    <cellStyle name="Célula de Verificação 3 2 2" xfId="2023" xr:uid="{00000000-0005-0000-0000-000049070000}"/>
    <cellStyle name="Célula de Verificação 3 3" xfId="2024" xr:uid="{00000000-0005-0000-0000-00004A070000}"/>
    <cellStyle name="Célula de Verificação 30" xfId="2025" xr:uid="{00000000-0005-0000-0000-00004B070000}"/>
    <cellStyle name="Célula de Verificação 30 2" xfId="2026" xr:uid="{00000000-0005-0000-0000-00004C070000}"/>
    <cellStyle name="Célula de Verificação 30 2 2" xfId="2027" xr:uid="{00000000-0005-0000-0000-00004D070000}"/>
    <cellStyle name="Célula de Verificação 30 3" xfId="2028" xr:uid="{00000000-0005-0000-0000-00004E070000}"/>
    <cellStyle name="Célula de Verificação 31" xfId="2029" xr:uid="{00000000-0005-0000-0000-00004F070000}"/>
    <cellStyle name="Célula de Verificação 31 2" xfId="2030" xr:uid="{00000000-0005-0000-0000-000050070000}"/>
    <cellStyle name="Célula de Verificação 31 2 2" xfId="2031" xr:uid="{00000000-0005-0000-0000-000051070000}"/>
    <cellStyle name="Célula de Verificação 31 3" xfId="2032" xr:uid="{00000000-0005-0000-0000-000052070000}"/>
    <cellStyle name="Célula de Verificação 32" xfId="2033" xr:uid="{00000000-0005-0000-0000-000053070000}"/>
    <cellStyle name="Célula de Verificação 32 2" xfId="2034" xr:uid="{00000000-0005-0000-0000-000054070000}"/>
    <cellStyle name="Célula de Verificação 32 2 2" xfId="2035" xr:uid="{00000000-0005-0000-0000-000055070000}"/>
    <cellStyle name="Célula de Verificação 32 3" xfId="2036" xr:uid="{00000000-0005-0000-0000-000056070000}"/>
    <cellStyle name="Célula de Verificação 33" xfId="2037" xr:uid="{00000000-0005-0000-0000-000057070000}"/>
    <cellStyle name="Célula de Verificação 33 2" xfId="2038" xr:uid="{00000000-0005-0000-0000-000058070000}"/>
    <cellStyle name="Célula de Verificação 33 2 2" xfId="2039" xr:uid="{00000000-0005-0000-0000-000059070000}"/>
    <cellStyle name="Célula de Verificação 33 3" xfId="2040" xr:uid="{00000000-0005-0000-0000-00005A070000}"/>
    <cellStyle name="Célula de Verificação 34" xfId="2041" xr:uid="{00000000-0005-0000-0000-00005B070000}"/>
    <cellStyle name="Célula de Verificação 34 2" xfId="2042" xr:uid="{00000000-0005-0000-0000-00005C070000}"/>
    <cellStyle name="Célula de Verificação 34 2 2" xfId="2043" xr:uid="{00000000-0005-0000-0000-00005D070000}"/>
    <cellStyle name="Célula de Verificação 34 3" xfId="2044" xr:uid="{00000000-0005-0000-0000-00005E070000}"/>
    <cellStyle name="Célula de Verificação 35" xfId="2045" xr:uid="{00000000-0005-0000-0000-00005F070000}"/>
    <cellStyle name="Célula de Verificação 35 2" xfId="2046" xr:uid="{00000000-0005-0000-0000-000060070000}"/>
    <cellStyle name="Célula de Verificação 35 2 2" xfId="2047" xr:uid="{00000000-0005-0000-0000-000061070000}"/>
    <cellStyle name="Célula de Verificação 35 3" xfId="2048" xr:uid="{00000000-0005-0000-0000-000062070000}"/>
    <cellStyle name="Célula de Verificação 36" xfId="2049" xr:uid="{00000000-0005-0000-0000-000063070000}"/>
    <cellStyle name="Célula de Verificação 36 2" xfId="2050" xr:uid="{00000000-0005-0000-0000-000064070000}"/>
    <cellStyle name="Célula de Verificação 36 2 2" xfId="2051" xr:uid="{00000000-0005-0000-0000-000065070000}"/>
    <cellStyle name="Célula de Verificação 36 3" xfId="2052" xr:uid="{00000000-0005-0000-0000-000066070000}"/>
    <cellStyle name="Célula de Verificação 37" xfId="2053" xr:uid="{00000000-0005-0000-0000-000067070000}"/>
    <cellStyle name="Célula de Verificação 37 2" xfId="2054" xr:uid="{00000000-0005-0000-0000-000068070000}"/>
    <cellStyle name="Célula de Verificação 37 2 2" xfId="2055" xr:uid="{00000000-0005-0000-0000-000069070000}"/>
    <cellStyle name="Célula de Verificação 37 3" xfId="2056" xr:uid="{00000000-0005-0000-0000-00006A070000}"/>
    <cellStyle name="Célula de Verificação 4" xfId="2057" xr:uid="{00000000-0005-0000-0000-00006B070000}"/>
    <cellStyle name="Célula de Verificação 4 2" xfId="2058" xr:uid="{00000000-0005-0000-0000-00006C070000}"/>
    <cellStyle name="Célula de Verificação 4 2 2" xfId="2059" xr:uid="{00000000-0005-0000-0000-00006D070000}"/>
    <cellStyle name="Célula de Verificação 4 3" xfId="2060" xr:uid="{00000000-0005-0000-0000-00006E070000}"/>
    <cellStyle name="Célula de Verificação 5" xfId="2061" xr:uid="{00000000-0005-0000-0000-00006F070000}"/>
    <cellStyle name="Célula de Verificação 5 2" xfId="2062" xr:uid="{00000000-0005-0000-0000-000070070000}"/>
    <cellStyle name="Célula de Verificação 5 2 2" xfId="2063" xr:uid="{00000000-0005-0000-0000-000071070000}"/>
    <cellStyle name="Célula de Verificação 5 3" xfId="2064" xr:uid="{00000000-0005-0000-0000-000072070000}"/>
    <cellStyle name="Célula de Verificação 6" xfId="2065" xr:uid="{00000000-0005-0000-0000-000073070000}"/>
    <cellStyle name="Célula de Verificação 6 2" xfId="2066" xr:uid="{00000000-0005-0000-0000-000074070000}"/>
    <cellStyle name="Célula de Verificação 6 2 2" xfId="2067" xr:uid="{00000000-0005-0000-0000-000075070000}"/>
    <cellStyle name="Célula de Verificação 6 3" xfId="2068" xr:uid="{00000000-0005-0000-0000-000076070000}"/>
    <cellStyle name="Célula de Verificação 7" xfId="2069" xr:uid="{00000000-0005-0000-0000-000077070000}"/>
    <cellStyle name="Célula de Verificação 7 2" xfId="2070" xr:uid="{00000000-0005-0000-0000-000078070000}"/>
    <cellStyle name="Célula de Verificação 7 2 2" xfId="2071" xr:uid="{00000000-0005-0000-0000-000079070000}"/>
    <cellStyle name="Célula de Verificação 7 3" xfId="2072" xr:uid="{00000000-0005-0000-0000-00007A070000}"/>
    <cellStyle name="Célula de Verificação 8" xfId="2073" xr:uid="{00000000-0005-0000-0000-00007B070000}"/>
    <cellStyle name="Célula de Verificação 8 2" xfId="2074" xr:uid="{00000000-0005-0000-0000-00007C070000}"/>
    <cellStyle name="Célula de Verificação 8 2 2" xfId="2075" xr:uid="{00000000-0005-0000-0000-00007D070000}"/>
    <cellStyle name="Célula de Verificação 8 3" xfId="2076" xr:uid="{00000000-0005-0000-0000-00007E070000}"/>
    <cellStyle name="Célula de Verificação 9" xfId="2077" xr:uid="{00000000-0005-0000-0000-00007F070000}"/>
    <cellStyle name="Célula de Verificação 9 2" xfId="2078" xr:uid="{00000000-0005-0000-0000-000080070000}"/>
    <cellStyle name="Célula de Verificação 9 2 2" xfId="2079" xr:uid="{00000000-0005-0000-0000-000081070000}"/>
    <cellStyle name="Célula de Verificação 9 3" xfId="2080" xr:uid="{00000000-0005-0000-0000-000082070000}"/>
    <cellStyle name="Célula Vinculada 10" xfId="2081" xr:uid="{00000000-0005-0000-0000-000083070000}"/>
    <cellStyle name="Célula Vinculada 10 2" xfId="2082" xr:uid="{00000000-0005-0000-0000-000084070000}"/>
    <cellStyle name="Célula Vinculada 11" xfId="2083" xr:uid="{00000000-0005-0000-0000-000085070000}"/>
    <cellStyle name="Célula Vinculada 11 2" xfId="2084" xr:uid="{00000000-0005-0000-0000-000086070000}"/>
    <cellStyle name="Célula Vinculada 11 2 2" xfId="2085" xr:uid="{00000000-0005-0000-0000-000087070000}"/>
    <cellStyle name="Célula Vinculada 12" xfId="2086" xr:uid="{00000000-0005-0000-0000-000088070000}"/>
    <cellStyle name="Célula Vinculada 12 2" xfId="2087" xr:uid="{00000000-0005-0000-0000-000089070000}"/>
    <cellStyle name="Célula Vinculada 12 2 2" xfId="2088" xr:uid="{00000000-0005-0000-0000-00008A070000}"/>
    <cellStyle name="Célula Vinculada 12 3" xfId="2089" xr:uid="{00000000-0005-0000-0000-00008B070000}"/>
    <cellStyle name="Célula Vinculada 13" xfId="2090" xr:uid="{00000000-0005-0000-0000-00008C070000}"/>
    <cellStyle name="Célula Vinculada 13 2" xfId="2091" xr:uid="{00000000-0005-0000-0000-00008D070000}"/>
    <cellStyle name="Célula Vinculada 13 2 2" xfId="2092" xr:uid="{00000000-0005-0000-0000-00008E070000}"/>
    <cellStyle name="Célula Vinculada 13 3" xfId="2093" xr:uid="{00000000-0005-0000-0000-00008F070000}"/>
    <cellStyle name="Célula Vinculada 14" xfId="2094" xr:uid="{00000000-0005-0000-0000-000090070000}"/>
    <cellStyle name="Célula Vinculada 14 2" xfId="2095" xr:uid="{00000000-0005-0000-0000-000091070000}"/>
    <cellStyle name="Célula Vinculada 14 2 2" xfId="2096" xr:uid="{00000000-0005-0000-0000-000092070000}"/>
    <cellStyle name="Célula Vinculada 14 3" xfId="2097" xr:uid="{00000000-0005-0000-0000-000093070000}"/>
    <cellStyle name="Célula Vinculada 15" xfId="2098" xr:uid="{00000000-0005-0000-0000-000094070000}"/>
    <cellStyle name="Célula Vinculada 15 2" xfId="2099" xr:uid="{00000000-0005-0000-0000-000095070000}"/>
    <cellStyle name="Célula Vinculada 15 2 2" xfId="2100" xr:uid="{00000000-0005-0000-0000-000096070000}"/>
    <cellStyle name="Célula Vinculada 15 3" xfId="2101" xr:uid="{00000000-0005-0000-0000-000097070000}"/>
    <cellStyle name="Célula Vinculada 16" xfId="2102" xr:uid="{00000000-0005-0000-0000-000098070000}"/>
    <cellStyle name="Célula Vinculada 16 2" xfId="2103" xr:uid="{00000000-0005-0000-0000-000099070000}"/>
    <cellStyle name="Célula Vinculada 16 2 2" xfId="2104" xr:uid="{00000000-0005-0000-0000-00009A070000}"/>
    <cellStyle name="Célula Vinculada 16 3" xfId="2105" xr:uid="{00000000-0005-0000-0000-00009B070000}"/>
    <cellStyle name="Célula Vinculada 17" xfId="2106" xr:uid="{00000000-0005-0000-0000-00009C070000}"/>
    <cellStyle name="Célula Vinculada 17 2" xfId="2107" xr:uid="{00000000-0005-0000-0000-00009D070000}"/>
    <cellStyle name="Célula Vinculada 17 2 2" xfId="2108" xr:uid="{00000000-0005-0000-0000-00009E070000}"/>
    <cellStyle name="Célula Vinculada 17 3" xfId="2109" xr:uid="{00000000-0005-0000-0000-00009F070000}"/>
    <cellStyle name="Célula Vinculada 18" xfId="2110" xr:uid="{00000000-0005-0000-0000-0000A0070000}"/>
    <cellStyle name="Célula Vinculada 18 2" xfId="2111" xr:uid="{00000000-0005-0000-0000-0000A1070000}"/>
    <cellStyle name="Célula Vinculada 18 2 2" xfId="2112" xr:uid="{00000000-0005-0000-0000-0000A2070000}"/>
    <cellStyle name="Célula Vinculada 18 3" xfId="2113" xr:uid="{00000000-0005-0000-0000-0000A3070000}"/>
    <cellStyle name="Célula Vinculada 19" xfId="2114" xr:uid="{00000000-0005-0000-0000-0000A4070000}"/>
    <cellStyle name="Célula Vinculada 19 2" xfId="2115" xr:uid="{00000000-0005-0000-0000-0000A5070000}"/>
    <cellStyle name="Célula Vinculada 19 2 2" xfId="2116" xr:uid="{00000000-0005-0000-0000-0000A6070000}"/>
    <cellStyle name="Célula Vinculada 19 3" xfId="2117" xr:uid="{00000000-0005-0000-0000-0000A7070000}"/>
    <cellStyle name="Célula Vinculada 2" xfId="2118" xr:uid="{00000000-0005-0000-0000-0000A8070000}"/>
    <cellStyle name="Célula Vinculada 2 2" xfId="2119" xr:uid="{00000000-0005-0000-0000-0000A9070000}"/>
    <cellStyle name="Célula Vinculada 2 2 2" xfId="2120" xr:uid="{00000000-0005-0000-0000-0000AA070000}"/>
    <cellStyle name="Célula Vinculada 2 2 2 2" xfId="2121" xr:uid="{00000000-0005-0000-0000-0000AB070000}"/>
    <cellStyle name="Célula Vinculada 2 2 3" xfId="2122" xr:uid="{00000000-0005-0000-0000-0000AC070000}"/>
    <cellStyle name="Célula Vinculada 2 3" xfId="2123" xr:uid="{00000000-0005-0000-0000-0000AD070000}"/>
    <cellStyle name="Célula Vinculada 20" xfId="2124" xr:uid="{00000000-0005-0000-0000-0000AE070000}"/>
    <cellStyle name="Célula Vinculada 20 2" xfId="2125" xr:uid="{00000000-0005-0000-0000-0000AF070000}"/>
    <cellStyle name="Célula Vinculada 20 2 2" xfId="2126" xr:uid="{00000000-0005-0000-0000-0000B0070000}"/>
    <cellStyle name="Célula Vinculada 20 3" xfId="2127" xr:uid="{00000000-0005-0000-0000-0000B1070000}"/>
    <cellStyle name="Célula Vinculada 21" xfId="2128" xr:uid="{00000000-0005-0000-0000-0000B2070000}"/>
    <cellStyle name="Célula Vinculada 21 2" xfId="2129" xr:uid="{00000000-0005-0000-0000-0000B3070000}"/>
    <cellStyle name="Célula Vinculada 21 2 2" xfId="2130" xr:uid="{00000000-0005-0000-0000-0000B4070000}"/>
    <cellStyle name="Célula Vinculada 21 3" xfId="2131" xr:uid="{00000000-0005-0000-0000-0000B5070000}"/>
    <cellStyle name="Célula Vinculada 22" xfId="2132" xr:uid="{00000000-0005-0000-0000-0000B6070000}"/>
    <cellStyle name="Célula Vinculada 22 2" xfId="2133" xr:uid="{00000000-0005-0000-0000-0000B7070000}"/>
    <cellStyle name="Célula Vinculada 22 2 2" xfId="2134" xr:uid="{00000000-0005-0000-0000-0000B8070000}"/>
    <cellStyle name="Célula Vinculada 22 3" xfId="2135" xr:uid="{00000000-0005-0000-0000-0000B9070000}"/>
    <cellStyle name="Célula Vinculada 23" xfId="2136" xr:uid="{00000000-0005-0000-0000-0000BA070000}"/>
    <cellStyle name="Célula Vinculada 23 2" xfId="2137" xr:uid="{00000000-0005-0000-0000-0000BB070000}"/>
    <cellStyle name="Célula Vinculada 23 2 2" xfId="2138" xr:uid="{00000000-0005-0000-0000-0000BC070000}"/>
    <cellStyle name="Célula Vinculada 23 3" xfId="2139" xr:uid="{00000000-0005-0000-0000-0000BD070000}"/>
    <cellStyle name="Célula Vinculada 24" xfId="2140" xr:uid="{00000000-0005-0000-0000-0000BE070000}"/>
    <cellStyle name="Célula Vinculada 24 2" xfId="2141" xr:uid="{00000000-0005-0000-0000-0000BF070000}"/>
    <cellStyle name="Célula Vinculada 24 2 2" xfId="2142" xr:uid="{00000000-0005-0000-0000-0000C0070000}"/>
    <cellStyle name="Célula Vinculada 24 3" xfId="2143" xr:uid="{00000000-0005-0000-0000-0000C1070000}"/>
    <cellStyle name="Célula Vinculada 25" xfId="2144" xr:uid="{00000000-0005-0000-0000-0000C2070000}"/>
    <cellStyle name="Célula Vinculada 25 2" xfId="2145" xr:uid="{00000000-0005-0000-0000-0000C3070000}"/>
    <cellStyle name="Célula Vinculada 25 2 2" xfId="2146" xr:uid="{00000000-0005-0000-0000-0000C4070000}"/>
    <cellStyle name="Célula Vinculada 25 3" xfId="2147" xr:uid="{00000000-0005-0000-0000-0000C5070000}"/>
    <cellStyle name="Célula Vinculada 26" xfId="2148" xr:uid="{00000000-0005-0000-0000-0000C6070000}"/>
    <cellStyle name="Célula Vinculada 26 2" xfId="2149" xr:uid="{00000000-0005-0000-0000-0000C7070000}"/>
    <cellStyle name="Célula Vinculada 26 2 2" xfId="2150" xr:uid="{00000000-0005-0000-0000-0000C8070000}"/>
    <cellStyle name="Célula Vinculada 26 3" xfId="2151" xr:uid="{00000000-0005-0000-0000-0000C9070000}"/>
    <cellStyle name="Célula Vinculada 27" xfId="2152" xr:uid="{00000000-0005-0000-0000-0000CA070000}"/>
    <cellStyle name="Célula Vinculada 27 2" xfId="2153" xr:uid="{00000000-0005-0000-0000-0000CB070000}"/>
    <cellStyle name="Célula Vinculada 27 2 2" xfId="2154" xr:uid="{00000000-0005-0000-0000-0000CC070000}"/>
    <cellStyle name="Célula Vinculada 27 3" xfId="2155" xr:uid="{00000000-0005-0000-0000-0000CD070000}"/>
    <cellStyle name="Célula Vinculada 28" xfId="2156" xr:uid="{00000000-0005-0000-0000-0000CE070000}"/>
    <cellStyle name="Célula Vinculada 28 2" xfId="2157" xr:uid="{00000000-0005-0000-0000-0000CF070000}"/>
    <cellStyle name="Célula Vinculada 28 2 2" xfId="2158" xr:uid="{00000000-0005-0000-0000-0000D0070000}"/>
    <cellStyle name="Célula Vinculada 28 3" xfId="2159" xr:uid="{00000000-0005-0000-0000-0000D1070000}"/>
    <cellStyle name="Célula Vinculada 29" xfId="2160" xr:uid="{00000000-0005-0000-0000-0000D2070000}"/>
    <cellStyle name="Célula Vinculada 29 2" xfId="2161" xr:uid="{00000000-0005-0000-0000-0000D3070000}"/>
    <cellStyle name="Célula Vinculada 29 2 2" xfId="2162" xr:uid="{00000000-0005-0000-0000-0000D4070000}"/>
    <cellStyle name="Célula Vinculada 29 3" xfId="2163" xr:uid="{00000000-0005-0000-0000-0000D5070000}"/>
    <cellStyle name="Célula Vinculada 3" xfId="2164" xr:uid="{00000000-0005-0000-0000-0000D6070000}"/>
    <cellStyle name="Célula Vinculada 3 2" xfId="2165" xr:uid="{00000000-0005-0000-0000-0000D7070000}"/>
    <cellStyle name="Célula Vinculada 3 2 2" xfId="2166" xr:uid="{00000000-0005-0000-0000-0000D8070000}"/>
    <cellStyle name="Célula Vinculada 3 3" xfId="2167" xr:uid="{00000000-0005-0000-0000-0000D9070000}"/>
    <cellStyle name="Célula Vinculada 30" xfId="2168" xr:uid="{00000000-0005-0000-0000-0000DA070000}"/>
    <cellStyle name="Célula Vinculada 30 2" xfId="2169" xr:uid="{00000000-0005-0000-0000-0000DB070000}"/>
    <cellStyle name="Célula Vinculada 30 2 2" xfId="2170" xr:uid="{00000000-0005-0000-0000-0000DC070000}"/>
    <cellStyle name="Célula Vinculada 30 3" xfId="2171" xr:uid="{00000000-0005-0000-0000-0000DD070000}"/>
    <cellStyle name="Célula Vinculada 31" xfId="2172" xr:uid="{00000000-0005-0000-0000-0000DE070000}"/>
    <cellStyle name="Célula Vinculada 31 2" xfId="2173" xr:uid="{00000000-0005-0000-0000-0000DF070000}"/>
    <cellStyle name="Célula Vinculada 31 2 2" xfId="2174" xr:uid="{00000000-0005-0000-0000-0000E0070000}"/>
    <cellStyle name="Célula Vinculada 31 3" xfId="2175" xr:uid="{00000000-0005-0000-0000-0000E1070000}"/>
    <cellStyle name="Célula Vinculada 32" xfId="2176" xr:uid="{00000000-0005-0000-0000-0000E2070000}"/>
    <cellStyle name="Célula Vinculada 32 2" xfId="2177" xr:uid="{00000000-0005-0000-0000-0000E3070000}"/>
    <cellStyle name="Célula Vinculada 32 2 2" xfId="2178" xr:uid="{00000000-0005-0000-0000-0000E4070000}"/>
    <cellStyle name="Célula Vinculada 32 3" xfId="2179" xr:uid="{00000000-0005-0000-0000-0000E5070000}"/>
    <cellStyle name="Célula Vinculada 33" xfId="2180" xr:uid="{00000000-0005-0000-0000-0000E6070000}"/>
    <cellStyle name="Célula Vinculada 33 2" xfId="2181" xr:uid="{00000000-0005-0000-0000-0000E7070000}"/>
    <cellStyle name="Célula Vinculada 33 2 2" xfId="2182" xr:uid="{00000000-0005-0000-0000-0000E8070000}"/>
    <cellStyle name="Célula Vinculada 33 3" xfId="2183" xr:uid="{00000000-0005-0000-0000-0000E9070000}"/>
    <cellStyle name="Célula Vinculada 34" xfId="2184" xr:uid="{00000000-0005-0000-0000-0000EA070000}"/>
    <cellStyle name="Célula Vinculada 34 2" xfId="2185" xr:uid="{00000000-0005-0000-0000-0000EB070000}"/>
    <cellStyle name="Célula Vinculada 34 2 2" xfId="2186" xr:uid="{00000000-0005-0000-0000-0000EC070000}"/>
    <cellStyle name="Célula Vinculada 34 3" xfId="2187" xr:uid="{00000000-0005-0000-0000-0000ED070000}"/>
    <cellStyle name="Célula Vinculada 35" xfId="2188" xr:uid="{00000000-0005-0000-0000-0000EE070000}"/>
    <cellStyle name="Célula Vinculada 35 2" xfId="2189" xr:uid="{00000000-0005-0000-0000-0000EF070000}"/>
    <cellStyle name="Célula Vinculada 35 2 2" xfId="2190" xr:uid="{00000000-0005-0000-0000-0000F0070000}"/>
    <cellStyle name="Célula Vinculada 35 3" xfId="2191" xr:uid="{00000000-0005-0000-0000-0000F1070000}"/>
    <cellStyle name="Célula Vinculada 36" xfId="2192" xr:uid="{00000000-0005-0000-0000-0000F2070000}"/>
    <cellStyle name="Célula Vinculada 36 2" xfId="2193" xr:uid="{00000000-0005-0000-0000-0000F3070000}"/>
    <cellStyle name="Célula Vinculada 36 2 2" xfId="2194" xr:uid="{00000000-0005-0000-0000-0000F4070000}"/>
    <cellStyle name="Célula Vinculada 36 3" xfId="2195" xr:uid="{00000000-0005-0000-0000-0000F5070000}"/>
    <cellStyle name="Célula Vinculada 37" xfId="2196" xr:uid="{00000000-0005-0000-0000-0000F6070000}"/>
    <cellStyle name="Célula Vinculada 37 2" xfId="2197" xr:uid="{00000000-0005-0000-0000-0000F7070000}"/>
    <cellStyle name="Célula Vinculada 37 2 2" xfId="2198" xr:uid="{00000000-0005-0000-0000-0000F8070000}"/>
    <cellStyle name="Célula Vinculada 37 3" xfId="2199" xr:uid="{00000000-0005-0000-0000-0000F9070000}"/>
    <cellStyle name="Célula Vinculada 4" xfId="2200" xr:uid="{00000000-0005-0000-0000-0000FA070000}"/>
    <cellStyle name="Célula Vinculada 4 2" xfId="2201" xr:uid="{00000000-0005-0000-0000-0000FB070000}"/>
    <cellStyle name="Célula Vinculada 4 2 2" xfId="2202" xr:uid="{00000000-0005-0000-0000-0000FC070000}"/>
    <cellStyle name="Célula Vinculada 4 3" xfId="2203" xr:uid="{00000000-0005-0000-0000-0000FD070000}"/>
    <cellStyle name="Célula Vinculada 5" xfId="2204" xr:uid="{00000000-0005-0000-0000-0000FE070000}"/>
    <cellStyle name="Célula Vinculada 5 2" xfId="2205" xr:uid="{00000000-0005-0000-0000-0000FF070000}"/>
    <cellStyle name="Célula Vinculada 5 2 2" xfId="2206" xr:uid="{00000000-0005-0000-0000-000000080000}"/>
    <cellStyle name="Célula Vinculada 5 3" xfId="2207" xr:uid="{00000000-0005-0000-0000-000001080000}"/>
    <cellStyle name="Célula Vinculada 6" xfId="2208" xr:uid="{00000000-0005-0000-0000-000002080000}"/>
    <cellStyle name="Célula Vinculada 6 2" xfId="2209" xr:uid="{00000000-0005-0000-0000-000003080000}"/>
    <cellStyle name="Célula Vinculada 6 2 2" xfId="2210" xr:uid="{00000000-0005-0000-0000-000004080000}"/>
    <cellStyle name="Célula Vinculada 6 3" xfId="2211" xr:uid="{00000000-0005-0000-0000-000005080000}"/>
    <cellStyle name="Célula Vinculada 7" xfId="2212" xr:uid="{00000000-0005-0000-0000-000006080000}"/>
    <cellStyle name="Célula Vinculada 7 2" xfId="2213" xr:uid="{00000000-0005-0000-0000-000007080000}"/>
    <cellStyle name="Célula Vinculada 7 2 2" xfId="2214" xr:uid="{00000000-0005-0000-0000-000008080000}"/>
    <cellStyle name="Célula Vinculada 7 3" xfId="2215" xr:uid="{00000000-0005-0000-0000-000009080000}"/>
    <cellStyle name="Célula Vinculada 8" xfId="2216" xr:uid="{00000000-0005-0000-0000-00000A080000}"/>
    <cellStyle name="Célula Vinculada 8 2" xfId="2217" xr:uid="{00000000-0005-0000-0000-00000B080000}"/>
    <cellStyle name="Célula Vinculada 8 2 2" xfId="2218" xr:uid="{00000000-0005-0000-0000-00000C080000}"/>
    <cellStyle name="Célula Vinculada 8 3" xfId="2219" xr:uid="{00000000-0005-0000-0000-00000D080000}"/>
    <cellStyle name="Célula Vinculada 9" xfId="2220" xr:uid="{00000000-0005-0000-0000-00000E080000}"/>
    <cellStyle name="Célula Vinculada 9 2" xfId="2221" xr:uid="{00000000-0005-0000-0000-00000F080000}"/>
    <cellStyle name="Célula Vinculada 9 2 2" xfId="2222" xr:uid="{00000000-0005-0000-0000-000010080000}"/>
    <cellStyle name="Célula Vinculada 9 3" xfId="2223" xr:uid="{00000000-0005-0000-0000-000011080000}"/>
    <cellStyle name="Check Cell" xfId="71" xr:uid="{00000000-0005-0000-0000-000012080000}"/>
    <cellStyle name="Comma [0]" xfId="1" xr:uid="{00000000-0005-0000-0000-000013080000}"/>
    <cellStyle name="Comma [0] 2" xfId="2224" xr:uid="{00000000-0005-0000-0000-000014080000}"/>
    <cellStyle name="Currency [0]" xfId="2" xr:uid="{00000000-0005-0000-0000-000015080000}"/>
    <cellStyle name="Currency 2" xfId="183" xr:uid="{00000000-0005-0000-0000-000016080000}"/>
    <cellStyle name="Default" xfId="72" xr:uid="{00000000-0005-0000-0000-000017080000}"/>
    <cellStyle name="Ênfase1 10" xfId="2225" xr:uid="{00000000-0005-0000-0000-000018080000}"/>
    <cellStyle name="Ênfase1 10 2" xfId="2226" xr:uid="{00000000-0005-0000-0000-000019080000}"/>
    <cellStyle name="Ênfase1 10 2 2" xfId="2227" xr:uid="{00000000-0005-0000-0000-00001A080000}"/>
    <cellStyle name="Ênfase1 10 3" xfId="2228" xr:uid="{00000000-0005-0000-0000-00001B080000}"/>
    <cellStyle name="Ênfase1 11" xfId="2229" xr:uid="{00000000-0005-0000-0000-00001C080000}"/>
    <cellStyle name="Ênfase1 11 2" xfId="2230" xr:uid="{00000000-0005-0000-0000-00001D080000}"/>
    <cellStyle name="Ênfase1 11 2 2" xfId="2231" xr:uid="{00000000-0005-0000-0000-00001E080000}"/>
    <cellStyle name="Ênfase1 11 3" xfId="2232" xr:uid="{00000000-0005-0000-0000-00001F080000}"/>
    <cellStyle name="Ênfase1 12" xfId="2233" xr:uid="{00000000-0005-0000-0000-000020080000}"/>
    <cellStyle name="Ênfase1 12 2" xfId="2234" xr:uid="{00000000-0005-0000-0000-000021080000}"/>
    <cellStyle name="Ênfase1 12 2 2" xfId="2235" xr:uid="{00000000-0005-0000-0000-000022080000}"/>
    <cellStyle name="Ênfase1 12 3" xfId="2236" xr:uid="{00000000-0005-0000-0000-000023080000}"/>
    <cellStyle name="Ênfase1 13" xfId="2237" xr:uid="{00000000-0005-0000-0000-000024080000}"/>
    <cellStyle name="Ênfase1 13 2" xfId="2238" xr:uid="{00000000-0005-0000-0000-000025080000}"/>
    <cellStyle name="Ênfase1 13 2 2" xfId="2239" xr:uid="{00000000-0005-0000-0000-000026080000}"/>
    <cellStyle name="Ênfase1 13 3" xfId="2240" xr:uid="{00000000-0005-0000-0000-000027080000}"/>
    <cellStyle name="Ênfase1 14" xfId="2241" xr:uid="{00000000-0005-0000-0000-000028080000}"/>
    <cellStyle name="Ênfase1 14 2" xfId="2242" xr:uid="{00000000-0005-0000-0000-000029080000}"/>
    <cellStyle name="Ênfase1 14 2 2" xfId="2243" xr:uid="{00000000-0005-0000-0000-00002A080000}"/>
    <cellStyle name="Ênfase1 14 3" xfId="2244" xr:uid="{00000000-0005-0000-0000-00002B080000}"/>
    <cellStyle name="Ênfase1 15" xfId="2245" xr:uid="{00000000-0005-0000-0000-00002C080000}"/>
    <cellStyle name="Ênfase1 15 2" xfId="2246" xr:uid="{00000000-0005-0000-0000-00002D080000}"/>
    <cellStyle name="Ênfase1 15 2 2" xfId="2247" xr:uid="{00000000-0005-0000-0000-00002E080000}"/>
    <cellStyle name="Ênfase1 15 3" xfId="2248" xr:uid="{00000000-0005-0000-0000-00002F080000}"/>
    <cellStyle name="Ênfase1 16" xfId="2249" xr:uid="{00000000-0005-0000-0000-000030080000}"/>
    <cellStyle name="Ênfase1 16 2" xfId="2250" xr:uid="{00000000-0005-0000-0000-000031080000}"/>
    <cellStyle name="Ênfase1 16 2 2" xfId="2251" xr:uid="{00000000-0005-0000-0000-000032080000}"/>
    <cellStyle name="Ênfase1 16 3" xfId="2252" xr:uid="{00000000-0005-0000-0000-000033080000}"/>
    <cellStyle name="Ênfase1 17" xfId="2253" xr:uid="{00000000-0005-0000-0000-000034080000}"/>
    <cellStyle name="Ênfase1 17 2" xfId="2254" xr:uid="{00000000-0005-0000-0000-000035080000}"/>
    <cellStyle name="Ênfase1 17 2 2" xfId="2255" xr:uid="{00000000-0005-0000-0000-000036080000}"/>
    <cellStyle name="Ênfase1 17 3" xfId="2256" xr:uid="{00000000-0005-0000-0000-000037080000}"/>
    <cellStyle name="Ênfase1 18" xfId="2257" xr:uid="{00000000-0005-0000-0000-000038080000}"/>
    <cellStyle name="Ênfase1 18 2" xfId="2258" xr:uid="{00000000-0005-0000-0000-000039080000}"/>
    <cellStyle name="Ênfase1 18 2 2" xfId="2259" xr:uid="{00000000-0005-0000-0000-00003A080000}"/>
    <cellStyle name="Ênfase1 18 3" xfId="2260" xr:uid="{00000000-0005-0000-0000-00003B080000}"/>
    <cellStyle name="Ênfase1 19" xfId="2261" xr:uid="{00000000-0005-0000-0000-00003C080000}"/>
    <cellStyle name="Ênfase1 19 2" xfId="2262" xr:uid="{00000000-0005-0000-0000-00003D080000}"/>
    <cellStyle name="Ênfase1 19 2 2" xfId="2263" xr:uid="{00000000-0005-0000-0000-00003E080000}"/>
    <cellStyle name="Ênfase1 19 3" xfId="2264" xr:uid="{00000000-0005-0000-0000-00003F080000}"/>
    <cellStyle name="Ênfase1 2" xfId="2265" xr:uid="{00000000-0005-0000-0000-000040080000}"/>
    <cellStyle name="Ênfase1 2 2" xfId="2266" xr:uid="{00000000-0005-0000-0000-000041080000}"/>
    <cellStyle name="Ênfase1 2 2 2" xfId="2267" xr:uid="{00000000-0005-0000-0000-000042080000}"/>
    <cellStyle name="Ênfase1 2 2 2 2" xfId="2268" xr:uid="{00000000-0005-0000-0000-000043080000}"/>
    <cellStyle name="Ênfase1 2 2 3" xfId="2269" xr:uid="{00000000-0005-0000-0000-000044080000}"/>
    <cellStyle name="Ênfase1 2 3" xfId="2270" xr:uid="{00000000-0005-0000-0000-000045080000}"/>
    <cellStyle name="Ênfase1 20" xfId="2271" xr:uid="{00000000-0005-0000-0000-000046080000}"/>
    <cellStyle name="Ênfase1 20 2" xfId="2272" xr:uid="{00000000-0005-0000-0000-000047080000}"/>
    <cellStyle name="Ênfase1 20 2 2" xfId="2273" xr:uid="{00000000-0005-0000-0000-000048080000}"/>
    <cellStyle name="Ênfase1 20 3" xfId="2274" xr:uid="{00000000-0005-0000-0000-000049080000}"/>
    <cellStyle name="Ênfase1 21" xfId="2275" xr:uid="{00000000-0005-0000-0000-00004A080000}"/>
    <cellStyle name="Ênfase1 21 2" xfId="2276" xr:uid="{00000000-0005-0000-0000-00004B080000}"/>
    <cellStyle name="Ênfase1 21 2 2" xfId="2277" xr:uid="{00000000-0005-0000-0000-00004C080000}"/>
    <cellStyle name="Ênfase1 21 3" xfId="2278" xr:uid="{00000000-0005-0000-0000-00004D080000}"/>
    <cellStyle name="Ênfase1 22" xfId="2279" xr:uid="{00000000-0005-0000-0000-00004E080000}"/>
    <cellStyle name="Ênfase1 22 2" xfId="2280" xr:uid="{00000000-0005-0000-0000-00004F080000}"/>
    <cellStyle name="Ênfase1 22 2 2" xfId="2281" xr:uid="{00000000-0005-0000-0000-000050080000}"/>
    <cellStyle name="Ênfase1 22 3" xfId="2282" xr:uid="{00000000-0005-0000-0000-000051080000}"/>
    <cellStyle name="Ênfase1 23" xfId="2283" xr:uid="{00000000-0005-0000-0000-000052080000}"/>
    <cellStyle name="Ênfase1 23 2" xfId="2284" xr:uid="{00000000-0005-0000-0000-000053080000}"/>
    <cellStyle name="Ênfase1 23 2 2" xfId="2285" xr:uid="{00000000-0005-0000-0000-000054080000}"/>
    <cellStyle name="Ênfase1 23 3" xfId="2286" xr:uid="{00000000-0005-0000-0000-000055080000}"/>
    <cellStyle name="Ênfase1 24" xfId="2287" xr:uid="{00000000-0005-0000-0000-000056080000}"/>
    <cellStyle name="Ênfase1 24 2" xfId="2288" xr:uid="{00000000-0005-0000-0000-000057080000}"/>
    <cellStyle name="Ênfase1 24 2 2" xfId="2289" xr:uid="{00000000-0005-0000-0000-000058080000}"/>
    <cellStyle name="Ênfase1 24 3" xfId="2290" xr:uid="{00000000-0005-0000-0000-000059080000}"/>
    <cellStyle name="Ênfase1 25" xfId="2291" xr:uid="{00000000-0005-0000-0000-00005A080000}"/>
    <cellStyle name="Ênfase1 25 2" xfId="2292" xr:uid="{00000000-0005-0000-0000-00005B080000}"/>
    <cellStyle name="Ênfase1 25 2 2" xfId="2293" xr:uid="{00000000-0005-0000-0000-00005C080000}"/>
    <cellStyle name="Ênfase1 25 3" xfId="2294" xr:uid="{00000000-0005-0000-0000-00005D080000}"/>
    <cellStyle name="Ênfase1 26" xfId="2295" xr:uid="{00000000-0005-0000-0000-00005E080000}"/>
    <cellStyle name="Ênfase1 26 2" xfId="2296" xr:uid="{00000000-0005-0000-0000-00005F080000}"/>
    <cellStyle name="Ênfase1 26 2 2" xfId="2297" xr:uid="{00000000-0005-0000-0000-000060080000}"/>
    <cellStyle name="Ênfase1 26 3" xfId="2298" xr:uid="{00000000-0005-0000-0000-000061080000}"/>
    <cellStyle name="Ênfase1 27" xfId="2299" xr:uid="{00000000-0005-0000-0000-000062080000}"/>
    <cellStyle name="Ênfase1 27 2" xfId="2300" xr:uid="{00000000-0005-0000-0000-000063080000}"/>
    <cellStyle name="Ênfase1 27 2 2" xfId="2301" xr:uid="{00000000-0005-0000-0000-000064080000}"/>
    <cellStyle name="Ênfase1 27 3" xfId="2302" xr:uid="{00000000-0005-0000-0000-000065080000}"/>
    <cellStyle name="Ênfase1 28" xfId="2303" xr:uid="{00000000-0005-0000-0000-000066080000}"/>
    <cellStyle name="Ênfase1 28 2" xfId="2304" xr:uid="{00000000-0005-0000-0000-000067080000}"/>
    <cellStyle name="Ênfase1 28 2 2" xfId="2305" xr:uid="{00000000-0005-0000-0000-000068080000}"/>
    <cellStyle name="Ênfase1 28 3" xfId="2306" xr:uid="{00000000-0005-0000-0000-000069080000}"/>
    <cellStyle name="Ênfase1 29" xfId="2307" xr:uid="{00000000-0005-0000-0000-00006A080000}"/>
    <cellStyle name="Ênfase1 29 2" xfId="2308" xr:uid="{00000000-0005-0000-0000-00006B080000}"/>
    <cellStyle name="Ênfase1 29 2 2" xfId="2309" xr:uid="{00000000-0005-0000-0000-00006C080000}"/>
    <cellStyle name="Ênfase1 29 3" xfId="2310" xr:uid="{00000000-0005-0000-0000-00006D080000}"/>
    <cellStyle name="Ênfase1 3" xfId="2311" xr:uid="{00000000-0005-0000-0000-00006E080000}"/>
    <cellStyle name="Ênfase1 3 2" xfId="2312" xr:uid="{00000000-0005-0000-0000-00006F080000}"/>
    <cellStyle name="Ênfase1 3 2 2" xfId="2313" xr:uid="{00000000-0005-0000-0000-000070080000}"/>
    <cellStyle name="Ênfase1 3 3" xfId="2314" xr:uid="{00000000-0005-0000-0000-000071080000}"/>
    <cellStyle name="Ênfase1 30" xfId="2315" xr:uid="{00000000-0005-0000-0000-000072080000}"/>
    <cellStyle name="Ênfase1 30 2" xfId="2316" xr:uid="{00000000-0005-0000-0000-000073080000}"/>
    <cellStyle name="Ênfase1 30 2 2" xfId="2317" xr:uid="{00000000-0005-0000-0000-000074080000}"/>
    <cellStyle name="Ênfase1 30 3" xfId="2318" xr:uid="{00000000-0005-0000-0000-000075080000}"/>
    <cellStyle name="Ênfase1 31" xfId="2319" xr:uid="{00000000-0005-0000-0000-000076080000}"/>
    <cellStyle name="Ênfase1 31 2" xfId="2320" xr:uid="{00000000-0005-0000-0000-000077080000}"/>
    <cellStyle name="Ênfase1 31 2 2" xfId="2321" xr:uid="{00000000-0005-0000-0000-000078080000}"/>
    <cellStyle name="Ênfase1 31 3" xfId="2322" xr:uid="{00000000-0005-0000-0000-000079080000}"/>
    <cellStyle name="Ênfase1 32" xfId="2323" xr:uid="{00000000-0005-0000-0000-00007A080000}"/>
    <cellStyle name="Ênfase1 32 2" xfId="2324" xr:uid="{00000000-0005-0000-0000-00007B080000}"/>
    <cellStyle name="Ênfase1 32 2 2" xfId="2325" xr:uid="{00000000-0005-0000-0000-00007C080000}"/>
    <cellStyle name="Ênfase1 32 3" xfId="2326" xr:uid="{00000000-0005-0000-0000-00007D080000}"/>
    <cellStyle name="Ênfase1 33" xfId="2327" xr:uid="{00000000-0005-0000-0000-00007E080000}"/>
    <cellStyle name="Ênfase1 33 2" xfId="2328" xr:uid="{00000000-0005-0000-0000-00007F080000}"/>
    <cellStyle name="Ênfase1 33 2 2" xfId="2329" xr:uid="{00000000-0005-0000-0000-000080080000}"/>
    <cellStyle name="Ênfase1 33 3" xfId="2330" xr:uid="{00000000-0005-0000-0000-000081080000}"/>
    <cellStyle name="Ênfase1 34" xfId="2331" xr:uid="{00000000-0005-0000-0000-000082080000}"/>
    <cellStyle name="Ênfase1 34 2" xfId="2332" xr:uid="{00000000-0005-0000-0000-000083080000}"/>
    <cellStyle name="Ênfase1 34 2 2" xfId="2333" xr:uid="{00000000-0005-0000-0000-000084080000}"/>
    <cellStyle name="Ênfase1 34 3" xfId="2334" xr:uid="{00000000-0005-0000-0000-000085080000}"/>
    <cellStyle name="Ênfase1 35" xfId="2335" xr:uid="{00000000-0005-0000-0000-000086080000}"/>
    <cellStyle name="Ênfase1 35 2" xfId="2336" xr:uid="{00000000-0005-0000-0000-000087080000}"/>
    <cellStyle name="Ênfase1 35 2 2" xfId="2337" xr:uid="{00000000-0005-0000-0000-000088080000}"/>
    <cellStyle name="Ênfase1 35 3" xfId="2338" xr:uid="{00000000-0005-0000-0000-000089080000}"/>
    <cellStyle name="Ênfase1 36" xfId="2339" xr:uid="{00000000-0005-0000-0000-00008A080000}"/>
    <cellStyle name="Ênfase1 36 2" xfId="2340" xr:uid="{00000000-0005-0000-0000-00008B080000}"/>
    <cellStyle name="Ênfase1 36 2 2" xfId="2341" xr:uid="{00000000-0005-0000-0000-00008C080000}"/>
    <cellStyle name="Ênfase1 36 3" xfId="2342" xr:uid="{00000000-0005-0000-0000-00008D080000}"/>
    <cellStyle name="Ênfase1 37" xfId="2343" xr:uid="{00000000-0005-0000-0000-00008E080000}"/>
    <cellStyle name="Ênfase1 37 2" xfId="2344" xr:uid="{00000000-0005-0000-0000-00008F080000}"/>
    <cellStyle name="Ênfase1 37 2 2" xfId="2345" xr:uid="{00000000-0005-0000-0000-000090080000}"/>
    <cellStyle name="Ênfase1 37 3" xfId="2346" xr:uid="{00000000-0005-0000-0000-000091080000}"/>
    <cellStyle name="Ênfase1 4" xfId="2347" xr:uid="{00000000-0005-0000-0000-000092080000}"/>
    <cellStyle name="Ênfase1 4 2" xfId="2348" xr:uid="{00000000-0005-0000-0000-000093080000}"/>
    <cellStyle name="Ênfase1 4 2 2" xfId="2349" xr:uid="{00000000-0005-0000-0000-000094080000}"/>
    <cellStyle name="Ênfase1 4 3" xfId="2350" xr:uid="{00000000-0005-0000-0000-000095080000}"/>
    <cellStyle name="Ênfase1 5" xfId="2351" xr:uid="{00000000-0005-0000-0000-000096080000}"/>
    <cellStyle name="Ênfase1 5 2" xfId="2352" xr:uid="{00000000-0005-0000-0000-000097080000}"/>
    <cellStyle name="Ênfase1 5 2 2" xfId="2353" xr:uid="{00000000-0005-0000-0000-000098080000}"/>
    <cellStyle name="Ênfase1 5 3" xfId="2354" xr:uid="{00000000-0005-0000-0000-000099080000}"/>
    <cellStyle name="Ênfase1 6" xfId="2355" xr:uid="{00000000-0005-0000-0000-00009A080000}"/>
    <cellStyle name="Ênfase1 6 2" xfId="2356" xr:uid="{00000000-0005-0000-0000-00009B080000}"/>
    <cellStyle name="Ênfase1 6 2 2" xfId="2357" xr:uid="{00000000-0005-0000-0000-00009C080000}"/>
    <cellStyle name="Ênfase1 6 3" xfId="2358" xr:uid="{00000000-0005-0000-0000-00009D080000}"/>
    <cellStyle name="Ênfase1 7" xfId="2359" xr:uid="{00000000-0005-0000-0000-00009E080000}"/>
    <cellStyle name="Ênfase1 7 2" xfId="2360" xr:uid="{00000000-0005-0000-0000-00009F080000}"/>
    <cellStyle name="Ênfase1 7 2 2" xfId="2361" xr:uid="{00000000-0005-0000-0000-0000A0080000}"/>
    <cellStyle name="Ênfase1 7 3" xfId="2362" xr:uid="{00000000-0005-0000-0000-0000A1080000}"/>
    <cellStyle name="Ênfase1 8" xfId="2363" xr:uid="{00000000-0005-0000-0000-0000A2080000}"/>
    <cellStyle name="Ênfase1 8 2" xfId="2364" xr:uid="{00000000-0005-0000-0000-0000A3080000}"/>
    <cellStyle name="Ênfase1 8 2 2" xfId="2365" xr:uid="{00000000-0005-0000-0000-0000A4080000}"/>
    <cellStyle name="Ênfase1 8 3" xfId="2366" xr:uid="{00000000-0005-0000-0000-0000A5080000}"/>
    <cellStyle name="Ênfase1 9" xfId="2367" xr:uid="{00000000-0005-0000-0000-0000A6080000}"/>
    <cellStyle name="Ênfase1 9 2" xfId="2368" xr:uid="{00000000-0005-0000-0000-0000A7080000}"/>
    <cellStyle name="Ênfase1 9 2 2" xfId="2369" xr:uid="{00000000-0005-0000-0000-0000A8080000}"/>
    <cellStyle name="Ênfase1 9 3" xfId="2370" xr:uid="{00000000-0005-0000-0000-0000A9080000}"/>
    <cellStyle name="Ênfase2 10" xfId="2371" xr:uid="{00000000-0005-0000-0000-0000AA080000}"/>
    <cellStyle name="Ênfase2 10 2" xfId="2372" xr:uid="{00000000-0005-0000-0000-0000AB080000}"/>
    <cellStyle name="Ênfase2 10 2 2" xfId="2373" xr:uid="{00000000-0005-0000-0000-0000AC080000}"/>
    <cellStyle name="Ênfase2 10 3" xfId="2374" xr:uid="{00000000-0005-0000-0000-0000AD080000}"/>
    <cellStyle name="Ênfase2 11" xfId="2375" xr:uid="{00000000-0005-0000-0000-0000AE080000}"/>
    <cellStyle name="Ênfase2 11 2" xfId="2376" xr:uid="{00000000-0005-0000-0000-0000AF080000}"/>
    <cellStyle name="Ênfase2 11 2 2" xfId="2377" xr:uid="{00000000-0005-0000-0000-0000B0080000}"/>
    <cellStyle name="Ênfase2 11 3" xfId="2378" xr:uid="{00000000-0005-0000-0000-0000B1080000}"/>
    <cellStyle name="Ênfase2 12" xfId="2379" xr:uid="{00000000-0005-0000-0000-0000B2080000}"/>
    <cellStyle name="Ênfase2 12 2" xfId="2380" xr:uid="{00000000-0005-0000-0000-0000B3080000}"/>
    <cellStyle name="Ênfase2 12 2 2" xfId="2381" xr:uid="{00000000-0005-0000-0000-0000B4080000}"/>
    <cellStyle name="Ênfase2 12 3" xfId="2382" xr:uid="{00000000-0005-0000-0000-0000B5080000}"/>
    <cellStyle name="Ênfase2 13" xfId="2383" xr:uid="{00000000-0005-0000-0000-0000B6080000}"/>
    <cellStyle name="Ênfase2 13 2" xfId="2384" xr:uid="{00000000-0005-0000-0000-0000B7080000}"/>
    <cellStyle name="Ênfase2 13 2 2" xfId="2385" xr:uid="{00000000-0005-0000-0000-0000B8080000}"/>
    <cellStyle name="Ênfase2 13 3" xfId="2386" xr:uid="{00000000-0005-0000-0000-0000B9080000}"/>
    <cellStyle name="Ênfase2 14" xfId="2387" xr:uid="{00000000-0005-0000-0000-0000BA080000}"/>
    <cellStyle name="Ênfase2 14 2" xfId="2388" xr:uid="{00000000-0005-0000-0000-0000BB080000}"/>
    <cellStyle name="Ênfase2 14 2 2" xfId="2389" xr:uid="{00000000-0005-0000-0000-0000BC080000}"/>
    <cellStyle name="Ênfase2 14 3" xfId="2390" xr:uid="{00000000-0005-0000-0000-0000BD080000}"/>
    <cellStyle name="Ênfase2 15" xfId="2391" xr:uid="{00000000-0005-0000-0000-0000BE080000}"/>
    <cellStyle name="Ênfase2 15 2" xfId="2392" xr:uid="{00000000-0005-0000-0000-0000BF080000}"/>
    <cellStyle name="Ênfase2 15 2 2" xfId="2393" xr:uid="{00000000-0005-0000-0000-0000C0080000}"/>
    <cellStyle name="Ênfase2 15 3" xfId="2394" xr:uid="{00000000-0005-0000-0000-0000C1080000}"/>
    <cellStyle name="Ênfase2 16" xfId="2395" xr:uid="{00000000-0005-0000-0000-0000C2080000}"/>
    <cellStyle name="Ênfase2 16 2" xfId="2396" xr:uid="{00000000-0005-0000-0000-0000C3080000}"/>
    <cellStyle name="Ênfase2 16 2 2" xfId="2397" xr:uid="{00000000-0005-0000-0000-0000C4080000}"/>
    <cellStyle name="Ênfase2 16 3" xfId="2398" xr:uid="{00000000-0005-0000-0000-0000C5080000}"/>
    <cellStyle name="Ênfase2 17" xfId="2399" xr:uid="{00000000-0005-0000-0000-0000C6080000}"/>
    <cellStyle name="Ênfase2 17 2" xfId="2400" xr:uid="{00000000-0005-0000-0000-0000C7080000}"/>
    <cellStyle name="Ênfase2 17 2 2" xfId="2401" xr:uid="{00000000-0005-0000-0000-0000C8080000}"/>
    <cellStyle name="Ênfase2 17 3" xfId="2402" xr:uid="{00000000-0005-0000-0000-0000C9080000}"/>
    <cellStyle name="Ênfase2 18" xfId="2403" xr:uid="{00000000-0005-0000-0000-0000CA080000}"/>
    <cellStyle name="Ênfase2 18 2" xfId="2404" xr:uid="{00000000-0005-0000-0000-0000CB080000}"/>
    <cellStyle name="Ênfase2 18 2 2" xfId="2405" xr:uid="{00000000-0005-0000-0000-0000CC080000}"/>
    <cellStyle name="Ênfase2 18 3" xfId="2406" xr:uid="{00000000-0005-0000-0000-0000CD080000}"/>
    <cellStyle name="Ênfase2 19" xfId="2407" xr:uid="{00000000-0005-0000-0000-0000CE080000}"/>
    <cellStyle name="Ênfase2 19 2" xfId="2408" xr:uid="{00000000-0005-0000-0000-0000CF080000}"/>
    <cellStyle name="Ênfase2 19 2 2" xfId="2409" xr:uid="{00000000-0005-0000-0000-0000D0080000}"/>
    <cellStyle name="Ênfase2 19 3" xfId="2410" xr:uid="{00000000-0005-0000-0000-0000D1080000}"/>
    <cellStyle name="Ênfase2 2" xfId="2411" xr:uid="{00000000-0005-0000-0000-0000D2080000}"/>
    <cellStyle name="Ênfase2 2 2" xfId="2412" xr:uid="{00000000-0005-0000-0000-0000D3080000}"/>
    <cellStyle name="Ênfase2 2 2 2" xfId="2413" xr:uid="{00000000-0005-0000-0000-0000D4080000}"/>
    <cellStyle name="Ênfase2 2 2 2 2" xfId="2414" xr:uid="{00000000-0005-0000-0000-0000D5080000}"/>
    <cellStyle name="Ênfase2 2 2 3" xfId="2415" xr:uid="{00000000-0005-0000-0000-0000D6080000}"/>
    <cellStyle name="Ênfase2 2 3" xfId="2416" xr:uid="{00000000-0005-0000-0000-0000D7080000}"/>
    <cellStyle name="Ênfase2 20" xfId="2417" xr:uid="{00000000-0005-0000-0000-0000D8080000}"/>
    <cellStyle name="Ênfase2 20 2" xfId="2418" xr:uid="{00000000-0005-0000-0000-0000D9080000}"/>
    <cellStyle name="Ênfase2 20 2 2" xfId="2419" xr:uid="{00000000-0005-0000-0000-0000DA080000}"/>
    <cellStyle name="Ênfase2 20 3" xfId="2420" xr:uid="{00000000-0005-0000-0000-0000DB080000}"/>
    <cellStyle name="Ênfase2 21" xfId="2421" xr:uid="{00000000-0005-0000-0000-0000DC080000}"/>
    <cellStyle name="Ênfase2 21 2" xfId="2422" xr:uid="{00000000-0005-0000-0000-0000DD080000}"/>
    <cellStyle name="Ênfase2 21 2 2" xfId="2423" xr:uid="{00000000-0005-0000-0000-0000DE080000}"/>
    <cellStyle name="Ênfase2 21 3" xfId="2424" xr:uid="{00000000-0005-0000-0000-0000DF080000}"/>
    <cellStyle name="Ênfase2 22" xfId="2425" xr:uid="{00000000-0005-0000-0000-0000E0080000}"/>
    <cellStyle name="Ênfase2 22 2" xfId="2426" xr:uid="{00000000-0005-0000-0000-0000E1080000}"/>
    <cellStyle name="Ênfase2 22 2 2" xfId="2427" xr:uid="{00000000-0005-0000-0000-0000E2080000}"/>
    <cellStyle name="Ênfase2 22 3" xfId="2428" xr:uid="{00000000-0005-0000-0000-0000E3080000}"/>
    <cellStyle name="Ênfase2 23" xfId="2429" xr:uid="{00000000-0005-0000-0000-0000E4080000}"/>
    <cellStyle name="Ênfase2 23 2" xfId="2430" xr:uid="{00000000-0005-0000-0000-0000E5080000}"/>
    <cellStyle name="Ênfase2 23 2 2" xfId="2431" xr:uid="{00000000-0005-0000-0000-0000E6080000}"/>
    <cellStyle name="Ênfase2 23 3" xfId="2432" xr:uid="{00000000-0005-0000-0000-0000E7080000}"/>
    <cellStyle name="Ênfase2 24" xfId="2433" xr:uid="{00000000-0005-0000-0000-0000E8080000}"/>
    <cellStyle name="Ênfase2 24 2" xfId="2434" xr:uid="{00000000-0005-0000-0000-0000E9080000}"/>
    <cellStyle name="Ênfase2 24 2 2" xfId="2435" xr:uid="{00000000-0005-0000-0000-0000EA080000}"/>
    <cellStyle name="Ênfase2 24 3" xfId="2436" xr:uid="{00000000-0005-0000-0000-0000EB080000}"/>
    <cellStyle name="Ênfase2 25" xfId="2437" xr:uid="{00000000-0005-0000-0000-0000EC080000}"/>
    <cellStyle name="Ênfase2 25 2" xfId="2438" xr:uid="{00000000-0005-0000-0000-0000ED080000}"/>
    <cellStyle name="Ênfase2 25 2 2" xfId="2439" xr:uid="{00000000-0005-0000-0000-0000EE080000}"/>
    <cellStyle name="Ênfase2 25 3" xfId="2440" xr:uid="{00000000-0005-0000-0000-0000EF080000}"/>
    <cellStyle name="Ênfase2 26" xfId="2441" xr:uid="{00000000-0005-0000-0000-0000F0080000}"/>
    <cellStyle name="Ênfase2 26 2" xfId="2442" xr:uid="{00000000-0005-0000-0000-0000F1080000}"/>
    <cellStyle name="Ênfase2 26 2 2" xfId="2443" xr:uid="{00000000-0005-0000-0000-0000F2080000}"/>
    <cellStyle name="Ênfase2 26 3" xfId="2444" xr:uid="{00000000-0005-0000-0000-0000F3080000}"/>
    <cellStyle name="Ênfase2 27" xfId="2445" xr:uid="{00000000-0005-0000-0000-0000F4080000}"/>
    <cellStyle name="Ênfase2 27 2" xfId="2446" xr:uid="{00000000-0005-0000-0000-0000F5080000}"/>
    <cellStyle name="Ênfase2 27 2 2" xfId="2447" xr:uid="{00000000-0005-0000-0000-0000F6080000}"/>
    <cellStyle name="Ênfase2 27 3" xfId="2448" xr:uid="{00000000-0005-0000-0000-0000F7080000}"/>
    <cellStyle name="Ênfase2 28" xfId="2449" xr:uid="{00000000-0005-0000-0000-0000F8080000}"/>
    <cellStyle name="Ênfase2 28 2" xfId="2450" xr:uid="{00000000-0005-0000-0000-0000F9080000}"/>
    <cellStyle name="Ênfase2 28 2 2" xfId="2451" xr:uid="{00000000-0005-0000-0000-0000FA080000}"/>
    <cellStyle name="Ênfase2 28 3" xfId="2452" xr:uid="{00000000-0005-0000-0000-0000FB080000}"/>
    <cellStyle name="Ênfase2 29" xfId="2453" xr:uid="{00000000-0005-0000-0000-0000FC080000}"/>
    <cellStyle name="Ênfase2 29 2" xfId="2454" xr:uid="{00000000-0005-0000-0000-0000FD080000}"/>
    <cellStyle name="Ênfase2 29 2 2" xfId="2455" xr:uid="{00000000-0005-0000-0000-0000FE080000}"/>
    <cellStyle name="Ênfase2 29 3" xfId="2456" xr:uid="{00000000-0005-0000-0000-0000FF080000}"/>
    <cellStyle name="Ênfase2 3" xfId="2457" xr:uid="{00000000-0005-0000-0000-000000090000}"/>
    <cellStyle name="Ênfase2 3 2" xfId="2458" xr:uid="{00000000-0005-0000-0000-000001090000}"/>
    <cellStyle name="Ênfase2 3 2 2" xfId="2459" xr:uid="{00000000-0005-0000-0000-000002090000}"/>
    <cellStyle name="Ênfase2 3 3" xfId="2460" xr:uid="{00000000-0005-0000-0000-000003090000}"/>
    <cellStyle name="Ênfase2 30" xfId="2461" xr:uid="{00000000-0005-0000-0000-000004090000}"/>
    <cellStyle name="Ênfase2 30 2" xfId="2462" xr:uid="{00000000-0005-0000-0000-000005090000}"/>
    <cellStyle name="Ênfase2 30 2 2" xfId="2463" xr:uid="{00000000-0005-0000-0000-000006090000}"/>
    <cellStyle name="Ênfase2 30 3" xfId="2464" xr:uid="{00000000-0005-0000-0000-000007090000}"/>
    <cellStyle name="Ênfase2 31" xfId="2465" xr:uid="{00000000-0005-0000-0000-000008090000}"/>
    <cellStyle name="Ênfase2 31 2" xfId="2466" xr:uid="{00000000-0005-0000-0000-000009090000}"/>
    <cellStyle name="Ênfase2 31 2 2" xfId="2467" xr:uid="{00000000-0005-0000-0000-00000A090000}"/>
    <cellStyle name="Ênfase2 31 3" xfId="2468" xr:uid="{00000000-0005-0000-0000-00000B090000}"/>
    <cellStyle name="Ênfase2 32" xfId="2469" xr:uid="{00000000-0005-0000-0000-00000C090000}"/>
    <cellStyle name="Ênfase2 32 2" xfId="2470" xr:uid="{00000000-0005-0000-0000-00000D090000}"/>
    <cellStyle name="Ênfase2 32 2 2" xfId="2471" xr:uid="{00000000-0005-0000-0000-00000E090000}"/>
    <cellStyle name="Ênfase2 32 3" xfId="2472" xr:uid="{00000000-0005-0000-0000-00000F090000}"/>
    <cellStyle name="Ênfase2 33" xfId="2473" xr:uid="{00000000-0005-0000-0000-000010090000}"/>
    <cellStyle name="Ênfase2 33 2" xfId="2474" xr:uid="{00000000-0005-0000-0000-000011090000}"/>
    <cellStyle name="Ênfase2 33 2 2" xfId="2475" xr:uid="{00000000-0005-0000-0000-000012090000}"/>
    <cellStyle name="Ênfase2 33 3" xfId="2476" xr:uid="{00000000-0005-0000-0000-000013090000}"/>
    <cellStyle name="Ênfase2 34" xfId="2477" xr:uid="{00000000-0005-0000-0000-000014090000}"/>
    <cellStyle name="Ênfase2 34 2" xfId="2478" xr:uid="{00000000-0005-0000-0000-000015090000}"/>
    <cellStyle name="Ênfase2 34 2 2" xfId="2479" xr:uid="{00000000-0005-0000-0000-000016090000}"/>
    <cellStyle name="Ênfase2 34 3" xfId="2480" xr:uid="{00000000-0005-0000-0000-000017090000}"/>
    <cellStyle name="Ênfase2 35" xfId="2481" xr:uid="{00000000-0005-0000-0000-000018090000}"/>
    <cellStyle name="Ênfase2 35 2" xfId="2482" xr:uid="{00000000-0005-0000-0000-000019090000}"/>
    <cellStyle name="Ênfase2 35 2 2" xfId="2483" xr:uid="{00000000-0005-0000-0000-00001A090000}"/>
    <cellStyle name="Ênfase2 35 3" xfId="2484" xr:uid="{00000000-0005-0000-0000-00001B090000}"/>
    <cellStyle name="Ênfase2 36" xfId="2485" xr:uid="{00000000-0005-0000-0000-00001C090000}"/>
    <cellStyle name="Ênfase2 36 2" xfId="2486" xr:uid="{00000000-0005-0000-0000-00001D090000}"/>
    <cellStyle name="Ênfase2 36 2 2" xfId="2487" xr:uid="{00000000-0005-0000-0000-00001E090000}"/>
    <cellStyle name="Ênfase2 36 3" xfId="2488" xr:uid="{00000000-0005-0000-0000-00001F090000}"/>
    <cellStyle name="Ênfase2 37" xfId="2489" xr:uid="{00000000-0005-0000-0000-000020090000}"/>
    <cellStyle name="Ênfase2 37 2" xfId="2490" xr:uid="{00000000-0005-0000-0000-000021090000}"/>
    <cellStyle name="Ênfase2 37 2 2" xfId="2491" xr:uid="{00000000-0005-0000-0000-000022090000}"/>
    <cellStyle name="Ênfase2 37 3" xfId="2492" xr:uid="{00000000-0005-0000-0000-000023090000}"/>
    <cellStyle name="Ênfase2 4" xfId="2493" xr:uid="{00000000-0005-0000-0000-000024090000}"/>
    <cellStyle name="Ênfase2 4 2" xfId="2494" xr:uid="{00000000-0005-0000-0000-000025090000}"/>
    <cellStyle name="Ênfase2 4 2 2" xfId="2495" xr:uid="{00000000-0005-0000-0000-000026090000}"/>
    <cellStyle name="Ênfase2 4 3" xfId="2496" xr:uid="{00000000-0005-0000-0000-000027090000}"/>
    <cellStyle name="Ênfase2 5" xfId="2497" xr:uid="{00000000-0005-0000-0000-000028090000}"/>
    <cellStyle name="Ênfase2 5 2" xfId="2498" xr:uid="{00000000-0005-0000-0000-000029090000}"/>
    <cellStyle name="Ênfase2 5 2 2" xfId="2499" xr:uid="{00000000-0005-0000-0000-00002A090000}"/>
    <cellStyle name="Ênfase2 5 3" xfId="2500" xr:uid="{00000000-0005-0000-0000-00002B090000}"/>
    <cellStyle name="Ênfase2 6" xfId="2501" xr:uid="{00000000-0005-0000-0000-00002C090000}"/>
    <cellStyle name="Ênfase2 6 2" xfId="2502" xr:uid="{00000000-0005-0000-0000-00002D090000}"/>
    <cellStyle name="Ênfase2 6 2 2" xfId="2503" xr:uid="{00000000-0005-0000-0000-00002E090000}"/>
    <cellStyle name="Ênfase2 6 3" xfId="2504" xr:uid="{00000000-0005-0000-0000-00002F090000}"/>
    <cellStyle name="Ênfase2 7" xfId="2505" xr:uid="{00000000-0005-0000-0000-000030090000}"/>
    <cellStyle name="Ênfase2 7 2" xfId="2506" xr:uid="{00000000-0005-0000-0000-000031090000}"/>
    <cellStyle name="Ênfase2 7 2 2" xfId="2507" xr:uid="{00000000-0005-0000-0000-000032090000}"/>
    <cellStyle name="Ênfase2 7 3" xfId="2508" xr:uid="{00000000-0005-0000-0000-000033090000}"/>
    <cellStyle name="Ênfase2 8" xfId="2509" xr:uid="{00000000-0005-0000-0000-000034090000}"/>
    <cellStyle name="Ênfase2 8 2" xfId="2510" xr:uid="{00000000-0005-0000-0000-000035090000}"/>
    <cellStyle name="Ênfase2 8 2 2" xfId="2511" xr:uid="{00000000-0005-0000-0000-000036090000}"/>
    <cellStyle name="Ênfase2 8 3" xfId="2512" xr:uid="{00000000-0005-0000-0000-000037090000}"/>
    <cellStyle name="Ênfase2 9" xfId="2513" xr:uid="{00000000-0005-0000-0000-000038090000}"/>
    <cellStyle name="Ênfase2 9 2" xfId="2514" xr:uid="{00000000-0005-0000-0000-000039090000}"/>
    <cellStyle name="Ênfase2 9 2 2" xfId="2515" xr:uid="{00000000-0005-0000-0000-00003A090000}"/>
    <cellStyle name="Ênfase2 9 3" xfId="2516" xr:uid="{00000000-0005-0000-0000-00003B090000}"/>
    <cellStyle name="Ênfase3 10" xfId="2517" xr:uid="{00000000-0005-0000-0000-00003C090000}"/>
    <cellStyle name="Ênfase3 10 2" xfId="2518" xr:uid="{00000000-0005-0000-0000-00003D090000}"/>
    <cellStyle name="Ênfase3 10 2 2" xfId="2519" xr:uid="{00000000-0005-0000-0000-00003E090000}"/>
    <cellStyle name="Ênfase3 10 3" xfId="2520" xr:uid="{00000000-0005-0000-0000-00003F090000}"/>
    <cellStyle name="Ênfase3 11" xfId="2521" xr:uid="{00000000-0005-0000-0000-000040090000}"/>
    <cellStyle name="Ênfase3 11 2" xfId="2522" xr:uid="{00000000-0005-0000-0000-000041090000}"/>
    <cellStyle name="Ênfase3 11 2 2" xfId="2523" xr:uid="{00000000-0005-0000-0000-000042090000}"/>
    <cellStyle name="Ênfase3 11 3" xfId="2524" xr:uid="{00000000-0005-0000-0000-000043090000}"/>
    <cellStyle name="Ênfase3 12" xfId="2525" xr:uid="{00000000-0005-0000-0000-000044090000}"/>
    <cellStyle name="Ênfase3 12 2" xfId="2526" xr:uid="{00000000-0005-0000-0000-000045090000}"/>
    <cellStyle name="Ênfase3 12 2 2" xfId="2527" xr:uid="{00000000-0005-0000-0000-000046090000}"/>
    <cellStyle name="Ênfase3 12 3" xfId="2528" xr:uid="{00000000-0005-0000-0000-000047090000}"/>
    <cellStyle name="Ênfase3 13" xfId="2529" xr:uid="{00000000-0005-0000-0000-000048090000}"/>
    <cellStyle name="Ênfase3 13 2" xfId="2530" xr:uid="{00000000-0005-0000-0000-000049090000}"/>
    <cellStyle name="Ênfase3 13 2 2" xfId="2531" xr:uid="{00000000-0005-0000-0000-00004A090000}"/>
    <cellStyle name="Ênfase3 13 3" xfId="2532" xr:uid="{00000000-0005-0000-0000-00004B090000}"/>
    <cellStyle name="Ênfase3 14" xfId="2533" xr:uid="{00000000-0005-0000-0000-00004C090000}"/>
    <cellStyle name="Ênfase3 14 2" xfId="2534" xr:uid="{00000000-0005-0000-0000-00004D090000}"/>
    <cellStyle name="Ênfase3 14 2 2" xfId="2535" xr:uid="{00000000-0005-0000-0000-00004E090000}"/>
    <cellStyle name="Ênfase3 14 3" xfId="2536" xr:uid="{00000000-0005-0000-0000-00004F090000}"/>
    <cellStyle name="Ênfase3 15" xfId="2537" xr:uid="{00000000-0005-0000-0000-000050090000}"/>
    <cellStyle name="Ênfase3 15 2" xfId="2538" xr:uid="{00000000-0005-0000-0000-000051090000}"/>
    <cellStyle name="Ênfase3 15 2 2" xfId="2539" xr:uid="{00000000-0005-0000-0000-000052090000}"/>
    <cellStyle name="Ênfase3 15 3" xfId="2540" xr:uid="{00000000-0005-0000-0000-000053090000}"/>
    <cellStyle name="Ênfase3 16" xfId="2541" xr:uid="{00000000-0005-0000-0000-000054090000}"/>
    <cellStyle name="Ênfase3 16 2" xfId="2542" xr:uid="{00000000-0005-0000-0000-000055090000}"/>
    <cellStyle name="Ênfase3 16 2 2" xfId="2543" xr:uid="{00000000-0005-0000-0000-000056090000}"/>
    <cellStyle name="Ênfase3 16 3" xfId="2544" xr:uid="{00000000-0005-0000-0000-000057090000}"/>
    <cellStyle name="Ênfase3 17" xfId="2545" xr:uid="{00000000-0005-0000-0000-000058090000}"/>
    <cellStyle name="Ênfase3 17 2" xfId="2546" xr:uid="{00000000-0005-0000-0000-000059090000}"/>
    <cellStyle name="Ênfase3 17 2 2" xfId="2547" xr:uid="{00000000-0005-0000-0000-00005A090000}"/>
    <cellStyle name="Ênfase3 17 3" xfId="2548" xr:uid="{00000000-0005-0000-0000-00005B090000}"/>
    <cellStyle name="Ênfase3 18" xfId="2549" xr:uid="{00000000-0005-0000-0000-00005C090000}"/>
    <cellStyle name="Ênfase3 18 2" xfId="2550" xr:uid="{00000000-0005-0000-0000-00005D090000}"/>
    <cellStyle name="Ênfase3 18 2 2" xfId="2551" xr:uid="{00000000-0005-0000-0000-00005E090000}"/>
    <cellStyle name="Ênfase3 18 3" xfId="2552" xr:uid="{00000000-0005-0000-0000-00005F090000}"/>
    <cellStyle name="Ênfase3 19" xfId="2553" xr:uid="{00000000-0005-0000-0000-000060090000}"/>
    <cellStyle name="Ênfase3 19 2" xfId="2554" xr:uid="{00000000-0005-0000-0000-000061090000}"/>
    <cellStyle name="Ênfase3 19 2 2" xfId="2555" xr:uid="{00000000-0005-0000-0000-000062090000}"/>
    <cellStyle name="Ênfase3 19 3" xfId="2556" xr:uid="{00000000-0005-0000-0000-000063090000}"/>
    <cellStyle name="Ênfase3 2" xfId="2557" xr:uid="{00000000-0005-0000-0000-000064090000}"/>
    <cellStyle name="Ênfase3 2 2" xfId="2558" xr:uid="{00000000-0005-0000-0000-000065090000}"/>
    <cellStyle name="Ênfase3 2 2 2" xfId="2559" xr:uid="{00000000-0005-0000-0000-000066090000}"/>
    <cellStyle name="Ênfase3 2 2 2 2" xfId="2560" xr:uid="{00000000-0005-0000-0000-000067090000}"/>
    <cellStyle name="Ênfase3 2 2 3" xfId="2561" xr:uid="{00000000-0005-0000-0000-000068090000}"/>
    <cellStyle name="Ênfase3 2 3" xfId="2562" xr:uid="{00000000-0005-0000-0000-000069090000}"/>
    <cellStyle name="Ênfase3 20" xfId="2563" xr:uid="{00000000-0005-0000-0000-00006A090000}"/>
    <cellStyle name="Ênfase3 20 2" xfId="2564" xr:uid="{00000000-0005-0000-0000-00006B090000}"/>
    <cellStyle name="Ênfase3 20 2 2" xfId="2565" xr:uid="{00000000-0005-0000-0000-00006C090000}"/>
    <cellStyle name="Ênfase3 20 3" xfId="2566" xr:uid="{00000000-0005-0000-0000-00006D090000}"/>
    <cellStyle name="Ênfase3 21" xfId="2567" xr:uid="{00000000-0005-0000-0000-00006E090000}"/>
    <cellStyle name="Ênfase3 21 2" xfId="2568" xr:uid="{00000000-0005-0000-0000-00006F090000}"/>
    <cellStyle name="Ênfase3 21 2 2" xfId="2569" xr:uid="{00000000-0005-0000-0000-000070090000}"/>
    <cellStyle name="Ênfase3 21 3" xfId="2570" xr:uid="{00000000-0005-0000-0000-000071090000}"/>
    <cellStyle name="Ênfase3 22" xfId="2571" xr:uid="{00000000-0005-0000-0000-000072090000}"/>
    <cellStyle name="Ênfase3 22 2" xfId="2572" xr:uid="{00000000-0005-0000-0000-000073090000}"/>
    <cellStyle name="Ênfase3 22 2 2" xfId="2573" xr:uid="{00000000-0005-0000-0000-000074090000}"/>
    <cellStyle name="Ênfase3 22 3" xfId="2574" xr:uid="{00000000-0005-0000-0000-000075090000}"/>
    <cellStyle name="Ênfase3 23" xfId="2575" xr:uid="{00000000-0005-0000-0000-000076090000}"/>
    <cellStyle name="Ênfase3 23 2" xfId="2576" xr:uid="{00000000-0005-0000-0000-000077090000}"/>
    <cellStyle name="Ênfase3 23 2 2" xfId="2577" xr:uid="{00000000-0005-0000-0000-000078090000}"/>
    <cellStyle name="Ênfase3 23 3" xfId="2578" xr:uid="{00000000-0005-0000-0000-000079090000}"/>
    <cellStyle name="Ênfase3 24" xfId="2579" xr:uid="{00000000-0005-0000-0000-00007A090000}"/>
    <cellStyle name="Ênfase3 24 2" xfId="2580" xr:uid="{00000000-0005-0000-0000-00007B090000}"/>
    <cellStyle name="Ênfase3 24 2 2" xfId="2581" xr:uid="{00000000-0005-0000-0000-00007C090000}"/>
    <cellStyle name="Ênfase3 24 3" xfId="2582" xr:uid="{00000000-0005-0000-0000-00007D090000}"/>
    <cellStyle name="Ênfase3 25" xfId="2583" xr:uid="{00000000-0005-0000-0000-00007E090000}"/>
    <cellStyle name="Ênfase3 25 2" xfId="2584" xr:uid="{00000000-0005-0000-0000-00007F090000}"/>
    <cellStyle name="Ênfase3 25 2 2" xfId="2585" xr:uid="{00000000-0005-0000-0000-000080090000}"/>
    <cellStyle name="Ênfase3 25 3" xfId="2586" xr:uid="{00000000-0005-0000-0000-000081090000}"/>
    <cellStyle name="Ênfase3 26" xfId="2587" xr:uid="{00000000-0005-0000-0000-000082090000}"/>
    <cellStyle name="Ênfase3 26 2" xfId="2588" xr:uid="{00000000-0005-0000-0000-000083090000}"/>
    <cellStyle name="Ênfase3 26 2 2" xfId="2589" xr:uid="{00000000-0005-0000-0000-000084090000}"/>
    <cellStyle name="Ênfase3 26 3" xfId="2590" xr:uid="{00000000-0005-0000-0000-000085090000}"/>
    <cellStyle name="Ênfase3 27" xfId="2591" xr:uid="{00000000-0005-0000-0000-000086090000}"/>
    <cellStyle name="Ênfase3 27 2" xfId="2592" xr:uid="{00000000-0005-0000-0000-000087090000}"/>
    <cellStyle name="Ênfase3 27 2 2" xfId="2593" xr:uid="{00000000-0005-0000-0000-000088090000}"/>
    <cellStyle name="Ênfase3 27 3" xfId="2594" xr:uid="{00000000-0005-0000-0000-000089090000}"/>
    <cellStyle name="Ênfase3 28" xfId="2595" xr:uid="{00000000-0005-0000-0000-00008A090000}"/>
    <cellStyle name="Ênfase3 28 2" xfId="2596" xr:uid="{00000000-0005-0000-0000-00008B090000}"/>
    <cellStyle name="Ênfase3 28 2 2" xfId="2597" xr:uid="{00000000-0005-0000-0000-00008C090000}"/>
    <cellStyle name="Ênfase3 28 3" xfId="2598" xr:uid="{00000000-0005-0000-0000-00008D090000}"/>
    <cellStyle name="Ênfase3 29" xfId="2599" xr:uid="{00000000-0005-0000-0000-00008E090000}"/>
    <cellStyle name="Ênfase3 29 2" xfId="2600" xr:uid="{00000000-0005-0000-0000-00008F090000}"/>
    <cellStyle name="Ênfase3 29 2 2" xfId="2601" xr:uid="{00000000-0005-0000-0000-000090090000}"/>
    <cellStyle name="Ênfase3 29 3" xfId="2602" xr:uid="{00000000-0005-0000-0000-000091090000}"/>
    <cellStyle name="Ênfase3 3" xfId="2603" xr:uid="{00000000-0005-0000-0000-000092090000}"/>
    <cellStyle name="Ênfase3 3 2" xfId="2604" xr:uid="{00000000-0005-0000-0000-000093090000}"/>
    <cellStyle name="Ênfase3 3 2 2" xfId="2605" xr:uid="{00000000-0005-0000-0000-000094090000}"/>
    <cellStyle name="Ênfase3 3 3" xfId="2606" xr:uid="{00000000-0005-0000-0000-000095090000}"/>
    <cellStyle name="Ênfase3 30" xfId="2607" xr:uid="{00000000-0005-0000-0000-000096090000}"/>
    <cellStyle name="Ênfase3 30 2" xfId="2608" xr:uid="{00000000-0005-0000-0000-000097090000}"/>
    <cellStyle name="Ênfase3 30 2 2" xfId="2609" xr:uid="{00000000-0005-0000-0000-000098090000}"/>
    <cellStyle name="Ênfase3 30 3" xfId="2610" xr:uid="{00000000-0005-0000-0000-000099090000}"/>
    <cellStyle name="Ênfase3 31" xfId="2611" xr:uid="{00000000-0005-0000-0000-00009A090000}"/>
    <cellStyle name="Ênfase3 31 2" xfId="2612" xr:uid="{00000000-0005-0000-0000-00009B090000}"/>
    <cellStyle name="Ênfase3 31 2 2" xfId="2613" xr:uid="{00000000-0005-0000-0000-00009C090000}"/>
    <cellStyle name="Ênfase3 31 3" xfId="2614" xr:uid="{00000000-0005-0000-0000-00009D090000}"/>
    <cellStyle name="Ênfase3 32" xfId="2615" xr:uid="{00000000-0005-0000-0000-00009E090000}"/>
    <cellStyle name="Ênfase3 32 2" xfId="2616" xr:uid="{00000000-0005-0000-0000-00009F090000}"/>
    <cellStyle name="Ênfase3 32 2 2" xfId="2617" xr:uid="{00000000-0005-0000-0000-0000A0090000}"/>
    <cellStyle name="Ênfase3 32 3" xfId="2618" xr:uid="{00000000-0005-0000-0000-0000A1090000}"/>
    <cellStyle name="Ênfase3 33" xfId="2619" xr:uid="{00000000-0005-0000-0000-0000A2090000}"/>
    <cellStyle name="Ênfase3 33 2" xfId="2620" xr:uid="{00000000-0005-0000-0000-0000A3090000}"/>
    <cellStyle name="Ênfase3 33 2 2" xfId="2621" xr:uid="{00000000-0005-0000-0000-0000A4090000}"/>
    <cellStyle name="Ênfase3 33 3" xfId="2622" xr:uid="{00000000-0005-0000-0000-0000A5090000}"/>
    <cellStyle name="Ênfase3 34" xfId="2623" xr:uid="{00000000-0005-0000-0000-0000A6090000}"/>
    <cellStyle name="Ênfase3 34 2" xfId="2624" xr:uid="{00000000-0005-0000-0000-0000A7090000}"/>
    <cellStyle name="Ênfase3 34 2 2" xfId="2625" xr:uid="{00000000-0005-0000-0000-0000A8090000}"/>
    <cellStyle name="Ênfase3 34 3" xfId="2626" xr:uid="{00000000-0005-0000-0000-0000A9090000}"/>
    <cellStyle name="Ênfase3 35" xfId="2627" xr:uid="{00000000-0005-0000-0000-0000AA090000}"/>
    <cellStyle name="Ênfase3 35 2" xfId="2628" xr:uid="{00000000-0005-0000-0000-0000AB090000}"/>
    <cellStyle name="Ênfase3 35 2 2" xfId="2629" xr:uid="{00000000-0005-0000-0000-0000AC090000}"/>
    <cellStyle name="Ênfase3 35 3" xfId="2630" xr:uid="{00000000-0005-0000-0000-0000AD090000}"/>
    <cellStyle name="Ênfase3 36" xfId="2631" xr:uid="{00000000-0005-0000-0000-0000AE090000}"/>
    <cellStyle name="Ênfase3 36 2" xfId="2632" xr:uid="{00000000-0005-0000-0000-0000AF090000}"/>
    <cellStyle name="Ênfase3 36 2 2" xfId="2633" xr:uid="{00000000-0005-0000-0000-0000B0090000}"/>
    <cellStyle name="Ênfase3 36 3" xfId="2634" xr:uid="{00000000-0005-0000-0000-0000B1090000}"/>
    <cellStyle name="Ênfase3 37" xfId="2635" xr:uid="{00000000-0005-0000-0000-0000B2090000}"/>
    <cellStyle name="Ênfase3 37 2" xfId="2636" xr:uid="{00000000-0005-0000-0000-0000B3090000}"/>
    <cellStyle name="Ênfase3 37 2 2" xfId="2637" xr:uid="{00000000-0005-0000-0000-0000B4090000}"/>
    <cellStyle name="Ênfase3 37 3" xfId="2638" xr:uid="{00000000-0005-0000-0000-0000B5090000}"/>
    <cellStyle name="Ênfase3 4" xfId="2639" xr:uid="{00000000-0005-0000-0000-0000B6090000}"/>
    <cellStyle name="Ênfase3 4 2" xfId="2640" xr:uid="{00000000-0005-0000-0000-0000B7090000}"/>
    <cellStyle name="Ênfase3 4 2 2" xfId="2641" xr:uid="{00000000-0005-0000-0000-0000B8090000}"/>
    <cellStyle name="Ênfase3 4 3" xfId="2642" xr:uid="{00000000-0005-0000-0000-0000B9090000}"/>
    <cellStyle name="Ênfase3 5" xfId="2643" xr:uid="{00000000-0005-0000-0000-0000BA090000}"/>
    <cellStyle name="Ênfase3 5 2" xfId="2644" xr:uid="{00000000-0005-0000-0000-0000BB090000}"/>
    <cellStyle name="Ênfase3 5 2 2" xfId="2645" xr:uid="{00000000-0005-0000-0000-0000BC090000}"/>
    <cellStyle name="Ênfase3 5 3" xfId="2646" xr:uid="{00000000-0005-0000-0000-0000BD090000}"/>
    <cellStyle name="Ênfase3 6" xfId="2647" xr:uid="{00000000-0005-0000-0000-0000BE090000}"/>
    <cellStyle name="Ênfase3 6 2" xfId="2648" xr:uid="{00000000-0005-0000-0000-0000BF090000}"/>
    <cellStyle name="Ênfase3 6 2 2" xfId="2649" xr:uid="{00000000-0005-0000-0000-0000C0090000}"/>
    <cellStyle name="Ênfase3 6 3" xfId="2650" xr:uid="{00000000-0005-0000-0000-0000C1090000}"/>
    <cellStyle name="Ênfase3 7" xfId="2651" xr:uid="{00000000-0005-0000-0000-0000C2090000}"/>
    <cellStyle name="Ênfase3 7 2" xfId="2652" xr:uid="{00000000-0005-0000-0000-0000C3090000}"/>
    <cellStyle name="Ênfase3 7 2 2" xfId="2653" xr:uid="{00000000-0005-0000-0000-0000C4090000}"/>
    <cellStyle name="Ênfase3 7 3" xfId="2654" xr:uid="{00000000-0005-0000-0000-0000C5090000}"/>
    <cellStyle name="Ênfase3 8" xfId="2655" xr:uid="{00000000-0005-0000-0000-0000C6090000}"/>
    <cellStyle name="Ênfase3 8 2" xfId="2656" xr:uid="{00000000-0005-0000-0000-0000C7090000}"/>
    <cellStyle name="Ênfase3 8 2 2" xfId="2657" xr:uid="{00000000-0005-0000-0000-0000C8090000}"/>
    <cellStyle name="Ênfase3 8 3" xfId="2658" xr:uid="{00000000-0005-0000-0000-0000C9090000}"/>
    <cellStyle name="Ênfase3 9" xfId="2659" xr:uid="{00000000-0005-0000-0000-0000CA090000}"/>
    <cellStyle name="Ênfase3 9 2" xfId="2660" xr:uid="{00000000-0005-0000-0000-0000CB090000}"/>
    <cellStyle name="Ênfase3 9 2 2" xfId="2661" xr:uid="{00000000-0005-0000-0000-0000CC090000}"/>
    <cellStyle name="Ênfase3 9 3" xfId="2662" xr:uid="{00000000-0005-0000-0000-0000CD090000}"/>
    <cellStyle name="Ênfase4 10" xfId="2663" xr:uid="{00000000-0005-0000-0000-0000CE090000}"/>
    <cellStyle name="Ênfase4 10 2" xfId="2664" xr:uid="{00000000-0005-0000-0000-0000CF090000}"/>
    <cellStyle name="Ênfase4 10 2 2" xfId="2665" xr:uid="{00000000-0005-0000-0000-0000D0090000}"/>
    <cellStyle name="Ênfase4 10 3" xfId="2666" xr:uid="{00000000-0005-0000-0000-0000D1090000}"/>
    <cellStyle name="Ênfase4 11" xfId="2667" xr:uid="{00000000-0005-0000-0000-0000D2090000}"/>
    <cellStyle name="Ênfase4 11 2" xfId="2668" xr:uid="{00000000-0005-0000-0000-0000D3090000}"/>
    <cellStyle name="Ênfase4 11 2 2" xfId="2669" xr:uid="{00000000-0005-0000-0000-0000D4090000}"/>
    <cellStyle name="Ênfase4 11 3" xfId="2670" xr:uid="{00000000-0005-0000-0000-0000D5090000}"/>
    <cellStyle name="Ênfase4 12" xfId="2671" xr:uid="{00000000-0005-0000-0000-0000D6090000}"/>
    <cellStyle name="Ênfase4 12 2" xfId="2672" xr:uid="{00000000-0005-0000-0000-0000D7090000}"/>
    <cellStyle name="Ênfase4 12 2 2" xfId="2673" xr:uid="{00000000-0005-0000-0000-0000D8090000}"/>
    <cellStyle name="Ênfase4 12 3" xfId="2674" xr:uid="{00000000-0005-0000-0000-0000D9090000}"/>
    <cellStyle name="Ênfase4 13" xfId="2675" xr:uid="{00000000-0005-0000-0000-0000DA090000}"/>
    <cellStyle name="Ênfase4 13 2" xfId="2676" xr:uid="{00000000-0005-0000-0000-0000DB090000}"/>
    <cellStyle name="Ênfase4 13 2 2" xfId="2677" xr:uid="{00000000-0005-0000-0000-0000DC090000}"/>
    <cellStyle name="Ênfase4 13 3" xfId="2678" xr:uid="{00000000-0005-0000-0000-0000DD090000}"/>
    <cellStyle name="Ênfase4 14" xfId="2679" xr:uid="{00000000-0005-0000-0000-0000DE090000}"/>
    <cellStyle name="Ênfase4 14 2" xfId="2680" xr:uid="{00000000-0005-0000-0000-0000DF090000}"/>
    <cellStyle name="Ênfase4 14 2 2" xfId="2681" xr:uid="{00000000-0005-0000-0000-0000E0090000}"/>
    <cellStyle name="Ênfase4 14 3" xfId="2682" xr:uid="{00000000-0005-0000-0000-0000E1090000}"/>
    <cellStyle name="Ênfase4 15" xfId="2683" xr:uid="{00000000-0005-0000-0000-0000E2090000}"/>
    <cellStyle name="Ênfase4 15 2" xfId="2684" xr:uid="{00000000-0005-0000-0000-0000E3090000}"/>
    <cellStyle name="Ênfase4 15 2 2" xfId="2685" xr:uid="{00000000-0005-0000-0000-0000E4090000}"/>
    <cellStyle name="Ênfase4 15 3" xfId="2686" xr:uid="{00000000-0005-0000-0000-0000E5090000}"/>
    <cellStyle name="Ênfase4 16" xfId="2687" xr:uid="{00000000-0005-0000-0000-0000E6090000}"/>
    <cellStyle name="Ênfase4 16 2" xfId="2688" xr:uid="{00000000-0005-0000-0000-0000E7090000}"/>
    <cellStyle name="Ênfase4 16 2 2" xfId="2689" xr:uid="{00000000-0005-0000-0000-0000E8090000}"/>
    <cellStyle name="Ênfase4 16 3" xfId="2690" xr:uid="{00000000-0005-0000-0000-0000E9090000}"/>
    <cellStyle name="Ênfase4 17" xfId="2691" xr:uid="{00000000-0005-0000-0000-0000EA090000}"/>
    <cellStyle name="Ênfase4 17 2" xfId="2692" xr:uid="{00000000-0005-0000-0000-0000EB090000}"/>
    <cellStyle name="Ênfase4 17 2 2" xfId="2693" xr:uid="{00000000-0005-0000-0000-0000EC090000}"/>
    <cellStyle name="Ênfase4 17 3" xfId="2694" xr:uid="{00000000-0005-0000-0000-0000ED090000}"/>
    <cellStyle name="Ênfase4 18" xfId="2695" xr:uid="{00000000-0005-0000-0000-0000EE090000}"/>
    <cellStyle name="Ênfase4 18 2" xfId="2696" xr:uid="{00000000-0005-0000-0000-0000EF090000}"/>
    <cellStyle name="Ênfase4 18 2 2" xfId="2697" xr:uid="{00000000-0005-0000-0000-0000F0090000}"/>
    <cellStyle name="Ênfase4 18 3" xfId="2698" xr:uid="{00000000-0005-0000-0000-0000F1090000}"/>
    <cellStyle name="Ênfase4 19" xfId="2699" xr:uid="{00000000-0005-0000-0000-0000F2090000}"/>
    <cellStyle name="Ênfase4 19 2" xfId="2700" xr:uid="{00000000-0005-0000-0000-0000F3090000}"/>
    <cellStyle name="Ênfase4 19 2 2" xfId="2701" xr:uid="{00000000-0005-0000-0000-0000F4090000}"/>
    <cellStyle name="Ênfase4 19 3" xfId="2702" xr:uid="{00000000-0005-0000-0000-0000F5090000}"/>
    <cellStyle name="Ênfase4 2" xfId="2703" xr:uid="{00000000-0005-0000-0000-0000F6090000}"/>
    <cellStyle name="Ênfase4 2 2" xfId="2704" xr:uid="{00000000-0005-0000-0000-0000F7090000}"/>
    <cellStyle name="Ênfase4 2 2 2" xfId="2705" xr:uid="{00000000-0005-0000-0000-0000F8090000}"/>
    <cellStyle name="Ênfase4 2 2 2 2" xfId="2706" xr:uid="{00000000-0005-0000-0000-0000F9090000}"/>
    <cellStyle name="Ênfase4 2 2 3" xfId="2707" xr:uid="{00000000-0005-0000-0000-0000FA090000}"/>
    <cellStyle name="Ênfase4 2 3" xfId="2708" xr:uid="{00000000-0005-0000-0000-0000FB090000}"/>
    <cellStyle name="Ênfase4 20" xfId="2709" xr:uid="{00000000-0005-0000-0000-0000FC090000}"/>
    <cellStyle name="Ênfase4 20 2" xfId="2710" xr:uid="{00000000-0005-0000-0000-0000FD090000}"/>
    <cellStyle name="Ênfase4 20 2 2" xfId="2711" xr:uid="{00000000-0005-0000-0000-0000FE090000}"/>
    <cellStyle name="Ênfase4 20 3" xfId="2712" xr:uid="{00000000-0005-0000-0000-0000FF090000}"/>
    <cellStyle name="Ênfase4 21" xfId="2713" xr:uid="{00000000-0005-0000-0000-0000000A0000}"/>
    <cellStyle name="Ênfase4 21 2" xfId="2714" xr:uid="{00000000-0005-0000-0000-0000010A0000}"/>
    <cellStyle name="Ênfase4 21 2 2" xfId="2715" xr:uid="{00000000-0005-0000-0000-0000020A0000}"/>
    <cellStyle name="Ênfase4 21 3" xfId="2716" xr:uid="{00000000-0005-0000-0000-0000030A0000}"/>
    <cellStyle name="Ênfase4 22" xfId="2717" xr:uid="{00000000-0005-0000-0000-0000040A0000}"/>
    <cellStyle name="Ênfase4 22 2" xfId="2718" xr:uid="{00000000-0005-0000-0000-0000050A0000}"/>
    <cellStyle name="Ênfase4 22 2 2" xfId="2719" xr:uid="{00000000-0005-0000-0000-0000060A0000}"/>
    <cellStyle name="Ênfase4 22 3" xfId="2720" xr:uid="{00000000-0005-0000-0000-0000070A0000}"/>
    <cellStyle name="Ênfase4 23" xfId="2721" xr:uid="{00000000-0005-0000-0000-0000080A0000}"/>
    <cellStyle name="Ênfase4 23 2" xfId="2722" xr:uid="{00000000-0005-0000-0000-0000090A0000}"/>
    <cellStyle name="Ênfase4 23 2 2" xfId="2723" xr:uid="{00000000-0005-0000-0000-00000A0A0000}"/>
    <cellStyle name="Ênfase4 23 3" xfId="2724" xr:uid="{00000000-0005-0000-0000-00000B0A0000}"/>
    <cellStyle name="Ênfase4 24" xfId="2725" xr:uid="{00000000-0005-0000-0000-00000C0A0000}"/>
    <cellStyle name="Ênfase4 24 2" xfId="2726" xr:uid="{00000000-0005-0000-0000-00000D0A0000}"/>
    <cellStyle name="Ênfase4 24 2 2" xfId="2727" xr:uid="{00000000-0005-0000-0000-00000E0A0000}"/>
    <cellStyle name="Ênfase4 24 3" xfId="2728" xr:uid="{00000000-0005-0000-0000-00000F0A0000}"/>
    <cellStyle name="Ênfase4 25" xfId="2729" xr:uid="{00000000-0005-0000-0000-0000100A0000}"/>
    <cellStyle name="Ênfase4 25 2" xfId="2730" xr:uid="{00000000-0005-0000-0000-0000110A0000}"/>
    <cellStyle name="Ênfase4 25 2 2" xfId="2731" xr:uid="{00000000-0005-0000-0000-0000120A0000}"/>
    <cellStyle name="Ênfase4 25 3" xfId="2732" xr:uid="{00000000-0005-0000-0000-0000130A0000}"/>
    <cellStyle name="Ênfase4 26" xfId="2733" xr:uid="{00000000-0005-0000-0000-0000140A0000}"/>
    <cellStyle name="Ênfase4 26 2" xfId="2734" xr:uid="{00000000-0005-0000-0000-0000150A0000}"/>
    <cellStyle name="Ênfase4 26 2 2" xfId="2735" xr:uid="{00000000-0005-0000-0000-0000160A0000}"/>
    <cellStyle name="Ênfase4 26 3" xfId="2736" xr:uid="{00000000-0005-0000-0000-0000170A0000}"/>
    <cellStyle name="Ênfase4 27" xfId="2737" xr:uid="{00000000-0005-0000-0000-0000180A0000}"/>
    <cellStyle name="Ênfase4 27 2" xfId="2738" xr:uid="{00000000-0005-0000-0000-0000190A0000}"/>
    <cellStyle name="Ênfase4 27 2 2" xfId="2739" xr:uid="{00000000-0005-0000-0000-00001A0A0000}"/>
    <cellStyle name="Ênfase4 27 3" xfId="2740" xr:uid="{00000000-0005-0000-0000-00001B0A0000}"/>
    <cellStyle name="Ênfase4 28" xfId="2741" xr:uid="{00000000-0005-0000-0000-00001C0A0000}"/>
    <cellStyle name="Ênfase4 28 2" xfId="2742" xr:uid="{00000000-0005-0000-0000-00001D0A0000}"/>
    <cellStyle name="Ênfase4 28 2 2" xfId="2743" xr:uid="{00000000-0005-0000-0000-00001E0A0000}"/>
    <cellStyle name="Ênfase4 28 3" xfId="2744" xr:uid="{00000000-0005-0000-0000-00001F0A0000}"/>
    <cellStyle name="Ênfase4 29" xfId="2745" xr:uid="{00000000-0005-0000-0000-0000200A0000}"/>
    <cellStyle name="Ênfase4 29 2" xfId="2746" xr:uid="{00000000-0005-0000-0000-0000210A0000}"/>
    <cellStyle name="Ênfase4 29 2 2" xfId="2747" xr:uid="{00000000-0005-0000-0000-0000220A0000}"/>
    <cellStyle name="Ênfase4 29 3" xfId="2748" xr:uid="{00000000-0005-0000-0000-0000230A0000}"/>
    <cellStyle name="Ênfase4 3" xfId="2749" xr:uid="{00000000-0005-0000-0000-0000240A0000}"/>
    <cellStyle name="Ênfase4 3 2" xfId="2750" xr:uid="{00000000-0005-0000-0000-0000250A0000}"/>
    <cellStyle name="Ênfase4 3 2 2" xfId="2751" xr:uid="{00000000-0005-0000-0000-0000260A0000}"/>
    <cellStyle name="Ênfase4 3 3" xfId="2752" xr:uid="{00000000-0005-0000-0000-0000270A0000}"/>
    <cellStyle name="Ênfase4 30" xfId="2753" xr:uid="{00000000-0005-0000-0000-0000280A0000}"/>
    <cellStyle name="Ênfase4 30 2" xfId="2754" xr:uid="{00000000-0005-0000-0000-0000290A0000}"/>
    <cellStyle name="Ênfase4 30 2 2" xfId="2755" xr:uid="{00000000-0005-0000-0000-00002A0A0000}"/>
    <cellStyle name="Ênfase4 30 3" xfId="2756" xr:uid="{00000000-0005-0000-0000-00002B0A0000}"/>
    <cellStyle name="Ênfase4 31" xfId="2757" xr:uid="{00000000-0005-0000-0000-00002C0A0000}"/>
    <cellStyle name="Ênfase4 31 2" xfId="2758" xr:uid="{00000000-0005-0000-0000-00002D0A0000}"/>
    <cellStyle name="Ênfase4 31 2 2" xfId="2759" xr:uid="{00000000-0005-0000-0000-00002E0A0000}"/>
    <cellStyle name="Ênfase4 31 3" xfId="2760" xr:uid="{00000000-0005-0000-0000-00002F0A0000}"/>
    <cellStyle name="Ênfase4 32" xfId="2761" xr:uid="{00000000-0005-0000-0000-0000300A0000}"/>
    <cellStyle name="Ênfase4 32 2" xfId="2762" xr:uid="{00000000-0005-0000-0000-0000310A0000}"/>
    <cellStyle name="Ênfase4 32 2 2" xfId="2763" xr:uid="{00000000-0005-0000-0000-0000320A0000}"/>
    <cellStyle name="Ênfase4 32 3" xfId="2764" xr:uid="{00000000-0005-0000-0000-0000330A0000}"/>
    <cellStyle name="Ênfase4 33" xfId="2765" xr:uid="{00000000-0005-0000-0000-0000340A0000}"/>
    <cellStyle name="Ênfase4 33 2" xfId="2766" xr:uid="{00000000-0005-0000-0000-0000350A0000}"/>
    <cellStyle name="Ênfase4 33 2 2" xfId="2767" xr:uid="{00000000-0005-0000-0000-0000360A0000}"/>
    <cellStyle name="Ênfase4 33 3" xfId="2768" xr:uid="{00000000-0005-0000-0000-0000370A0000}"/>
    <cellStyle name="Ênfase4 34" xfId="2769" xr:uid="{00000000-0005-0000-0000-0000380A0000}"/>
    <cellStyle name="Ênfase4 34 2" xfId="2770" xr:uid="{00000000-0005-0000-0000-0000390A0000}"/>
    <cellStyle name="Ênfase4 34 2 2" xfId="2771" xr:uid="{00000000-0005-0000-0000-00003A0A0000}"/>
    <cellStyle name="Ênfase4 34 3" xfId="2772" xr:uid="{00000000-0005-0000-0000-00003B0A0000}"/>
    <cellStyle name="Ênfase4 35" xfId="2773" xr:uid="{00000000-0005-0000-0000-00003C0A0000}"/>
    <cellStyle name="Ênfase4 35 2" xfId="2774" xr:uid="{00000000-0005-0000-0000-00003D0A0000}"/>
    <cellStyle name="Ênfase4 35 2 2" xfId="2775" xr:uid="{00000000-0005-0000-0000-00003E0A0000}"/>
    <cellStyle name="Ênfase4 35 3" xfId="2776" xr:uid="{00000000-0005-0000-0000-00003F0A0000}"/>
    <cellStyle name="Ênfase4 36" xfId="2777" xr:uid="{00000000-0005-0000-0000-0000400A0000}"/>
    <cellStyle name="Ênfase4 36 2" xfId="2778" xr:uid="{00000000-0005-0000-0000-0000410A0000}"/>
    <cellStyle name="Ênfase4 36 2 2" xfId="2779" xr:uid="{00000000-0005-0000-0000-0000420A0000}"/>
    <cellStyle name="Ênfase4 36 3" xfId="2780" xr:uid="{00000000-0005-0000-0000-0000430A0000}"/>
    <cellStyle name="Ênfase4 37" xfId="2781" xr:uid="{00000000-0005-0000-0000-0000440A0000}"/>
    <cellStyle name="Ênfase4 37 2" xfId="2782" xr:uid="{00000000-0005-0000-0000-0000450A0000}"/>
    <cellStyle name="Ênfase4 37 2 2" xfId="2783" xr:uid="{00000000-0005-0000-0000-0000460A0000}"/>
    <cellStyle name="Ênfase4 37 3" xfId="2784" xr:uid="{00000000-0005-0000-0000-0000470A0000}"/>
    <cellStyle name="Ênfase4 4" xfId="2785" xr:uid="{00000000-0005-0000-0000-0000480A0000}"/>
    <cellStyle name="Ênfase4 4 2" xfId="2786" xr:uid="{00000000-0005-0000-0000-0000490A0000}"/>
    <cellStyle name="Ênfase4 4 2 2" xfId="2787" xr:uid="{00000000-0005-0000-0000-00004A0A0000}"/>
    <cellStyle name="Ênfase4 4 3" xfId="2788" xr:uid="{00000000-0005-0000-0000-00004B0A0000}"/>
    <cellStyle name="Ênfase4 5" xfId="2789" xr:uid="{00000000-0005-0000-0000-00004C0A0000}"/>
    <cellStyle name="Ênfase4 5 2" xfId="2790" xr:uid="{00000000-0005-0000-0000-00004D0A0000}"/>
    <cellStyle name="Ênfase4 5 2 2" xfId="2791" xr:uid="{00000000-0005-0000-0000-00004E0A0000}"/>
    <cellStyle name="Ênfase4 5 3" xfId="2792" xr:uid="{00000000-0005-0000-0000-00004F0A0000}"/>
    <cellStyle name="Ênfase4 6" xfId="2793" xr:uid="{00000000-0005-0000-0000-0000500A0000}"/>
    <cellStyle name="Ênfase4 6 2" xfId="2794" xr:uid="{00000000-0005-0000-0000-0000510A0000}"/>
    <cellStyle name="Ênfase4 6 2 2" xfId="2795" xr:uid="{00000000-0005-0000-0000-0000520A0000}"/>
    <cellStyle name="Ênfase4 6 3" xfId="2796" xr:uid="{00000000-0005-0000-0000-0000530A0000}"/>
    <cellStyle name="Ênfase4 7" xfId="2797" xr:uid="{00000000-0005-0000-0000-0000540A0000}"/>
    <cellStyle name="Ênfase4 7 2" xfId="2798" xr:uid="{00000000-0005-0000-0000-0000550A0000}"/>
    <cellStyle name="Ênfase4 7 2 2" xfId="2799" xr:uid="{00000000-0005-0000-0000-0000560A0000}"/>
    <cellStyle name="Ênfase4 7 3" xfId="2800" xr:uid="{00000000-0005-0000-0000-0000570A0000}"/>
    <cellStyle name="Ênfase4 8" xfId="2801" xr:uid="{00000000-0005-0000-0000-0000580A0000}"/>
    <cellStyle name="Ênfase4 8 2" xfId="2802" xr:uid="{00000000-0005-0000-0000-0000590A0000}"/>
    <cellStyle name="Ênfase4 8 2 2" xfId="2803" xr:uid="{00000000-0005-0000-0000-00005A0A0000}"/>
    <cellStyle name="Ênfase4 8 3" xfId="2804" xr:uid="{00000000-0005-0000-0000-00005B0A0000}"/>
    <cellStyle name="Ênfase4 9" xfId="2805" xr:uid="{00000000-0005-0000-0000-00005C0A0000}"/>
    <cellStyle name="Ênfase4 9 2" xfId="2806" xr:uid="{00000000-0005-0000-0000-00005D0A0000}"/>
    <cellStyle name="Ênfase4 9 2 2" xfId="2807" xr:uid="{00000000-0005-0000-0000-00005E0A0000}"/>
    <cellStyle name="Ênfase4 9 3" xfId="2808" xr:uid="{00000000-0005-0000-0000-00005F0A0000}"/>
    <cellStyle name="Ênfase5 10" xfId="2809" xr:uid="{00000000-0005-0000-0000-0000600A0000}"/>
    <cellStyle name="Ênfase5 10 2" xfId="2810" xr:uid="{00000000-0005-0000-0000-0000610A0000}"/>
    <cellStyle name="Ênfase5 10 2 2" xfId="2811" xr:uid="{00000000-0005-0000-0000-0000620A0000}"/>
    <cellStyle name="Ênfase5 10 3" xfId="2812" xr:uid="{00000000-0005-0000-0000-0000630A0000}"/>
    <cellStyle name="Ênfase5 11" xfId="2813" xr:uid="{00000000-0005-0000-0000-0000640A0000}"/>
    <cellStyle name="Ênfase5 11 2" xfId="2814" xr:uid="{00000000-0005-0000-0000-0000650A0000}"/>
    <cellStyle name="Ênfase5 11 2 2" xfId="2815" xr:uid="{00000000-0005-0000-0000-0000660A0000}"/>
    <cellStyle name="Ênfase5 11 3" xfId="2816" xr:uid="{00000000-0005-0000-0000-0000670A0000}"/>
    <cellStyle name="Ênfase5 12" xfId="2817" xr:uid="{00000000-0005-0000-0000-0000680A0000}"/>
    <cellStyle name="Ênfase5 12 2" xfId="2818" xr:uid="{00000000-0005-0000-0000-0000690A0000}"/>
    <cellStyle name="Ênfase5 12 2 2" xfId="2819" xr:uid="{00000000-0005-0000-0000-00006A0A0000}"/>
    <cellStyle name="Ênfase5 12 3" xfId="2820" xr:uid="{00000000-0005-0000-0000-00006B0A0000}"/>
    <cellStyle name="Ênfase5 13" xfId="2821" xr:uid="{00000000-0005-0000-0000-00006C0A0000}"/>
    <cellStyle name="Ênfase5 13 2" xfId="2822" xr:uid="{00000000-0005-0000-0000-00006D0A0000}"/>
    <cellStyle name="Ênfase5 13 2 2" xfId="2823" xr:uid="{00000000-0005-0000-0000-00006E0A0000}"/>
    <cellStyle name="Ênfase5 13 3" xfId="2824" xr:uid="{00000000-0005-0000-0000-00006F0A0000}"/>
    <cellStyle name="Ênfase5 14" xfId="2825" xr:uid="{00000000-0005-0000-0000-0000700A0000}"/>
    <cellStyle name="Ênfase5 14 2" xfId="2826" xr:uid="{00000000-0005-0000-0000-0000710A0000}"/>
    <cellStyle name="Ênfase5 14 2 2" xfId="2827" xr:uid="{00000000-0005-0000-0000-0000720A0000}"/>
    <cellStyle name="Ênfase5 14 3" xfId="2828" xr:uid="{00000000-0005-0000-0000-0000730A0000}"/>
    <cellStyle name="Ênfase5 15" xfId="2829" xr:uid="{00000000-0005-0000-0000-0000740A0000}"/>
    <cellStyle name="Ênfase5 15 2" xfId="2830" xr:uid="{00000000-0005-0000-0000-0000750A0000}"/>
    <cellStyle name="Ênfase5 15 2 2" xfId="2831" xr:uid="{00000000-0005-0000-0000-0000760A0000}"/>
    <cellStyle name="Ênfase5 15 3" xfId="2832" xr:uid="{00000000-0005-0000-0000-0000770A0000}"/>
    <cellStyle name="Ênfase5 16" xfId="2833" xr:uid="{00000000-0005-0000-0000-0000780A0000}"/>
    <cellStyle name="Ênfase5 16 2" xfId="2834" xr:uid="{00000000-0005-0000-0000-0000790A0000}"/>
    <cellStyle name="Ênfase5 16 2 2" xfId="2835" xr:uid="{00000000-0005-0000-0000-00007A0A0000}"/>
    <cellStyle name="Ênfase5 16 3" xfId="2836" xr:uid="{00000000-0005-0000-0000-00007B0A0000}"/>
    <cellStyle name="Ênfase5 17" xfId="2837" xr:uid="{00000000-0005-0000-0000-00007C0A0000}"/>
    <cellStyle name="Ênfase5 17 2" xfId="2838" xr:uid="{00000000-0005-0000-0000-00007D0A0000}"/>
    <cellStyle name="Ênfase5 17 2 2" xfId="2839" xr:uid="{00000000-0005-0000-0000-00007E0A0000}"/>
    <cellStyle name="Ênfase5 17 3" xfId="2840" xr:uid="{00000000-0005-0000-0000-00007F0A0000}"/>
    <cellStyle name="Ênfase5 18" xfId="2841" xr:uid="{00000000-0005-0000-0000-0000800A0000}"/>
    <cellStyle name="Ênfase5 18 2" xfId="2842" xr:uid="{00000000-0005-0000-0000-0000810A0000}"/>
    <cellStyle name="Ênfase5 18 2 2" xfId="2843" xr:uid="{00000000-0005-0000-0000-0000820A0000}"/>
    <cellStyle name="Ênfase5 18 3" xfId="2844" xr:uid="{00000000-0005-0000-0000-0000830A0000}"/>
    <cellStyle name="Ênfase5 19" xfId="2845" xr:uid="{00000000-0005-0000-0000-0000840A0000}"/>
    <cellStyle name="Ênfase5 19 2" xfId="2846" xr:uid="{00000000-0005-0000-0000-0000850A0000}"/>
    <cellStyle name="Ênfase5 19 2 2" xfId="2847" xr:uid="{00000000-0005-0000-0000-0000860A0000}"/>
    <cellStyle name="Ênfase5 19 3" xfId="2848" xr:uid="{00000000-0005-0000-0000-0000870A0000}"/>
    <cellStyle name="Ênfase5 2" xfId="2849" xr:uid="{00000000-0005-0000-0000-0000880A0000}"/>
    <cellStyle name="Ênfase5 2 2" xfId="2850" xr:uid="{00000000-0005-0000-0000-0000890A0000}"/>
    <cellStyle name="Ênfase5 2 2 2" xfId="2851" xr:uid="{00000000-0005-0000-0000-00008A0A0000}"/>
    <cellStyle name="Ênfase5 2 2 2 2" xfId="2852" xr:uid="{00000000-0005-0000-0000-00008B0A0000}"/>
    <cellStyle name="Ênfase5 2 2 3" xfId="2853" xr:uid="{00000000-0005-0000-0000-00008C0A0000}"/>
    <cellStyle name="Ênfase5 2 3" xfId="2854" xr:uid="{00000000-0005-0000-0000-00008D0A0000}"/>
    <cellStyle name="Ênfase5 20" xfId="2855" xr:uid="{00000000-0005-0000-0000-00008E0A0000}"/>
    <cellStyle name="Ênfase5 20 2" xfId="2856" xr:uid="{00000000-0005-0000-0000-00008F0A0000}"/>
    <cellStyle name="Ênfase5 20 2 2" xfId="2857" xr:uid="{00000000-0005-0000-0000-0000900A0000}"/>
    <cellStyle name="Ênfase5 20 3" xfId="2858" xr:uid="{00000000-0005-0000-0000-0000910A0000}"/>
    <cellStyle name="Ênfase5 21" xfId="2859" xr:uid="{00000000-0005-0000-0000-0000920A0000}"/>
    <cellStyle name="Ênfase5 21 2" xfId="2860" xr:uid="{00000000-0005-0000-0000-0000930A0000}"/>
    <cellStyle name="Ênfase5 21 2 2" xfId="2861" xr:uid="{00000000-0005-0000-0000-0000940A0000}"/>
    <cellStyle name="Ênfase5 21 3" xfId="2862" xr:uid="{00000000-0005-0000-0000-0000950A0000}"/>
    <cellStyle name="Ênfase5 22" xfId="2863" xr:uid="{00000000-0005-0000-0000-0000960A0000}"/>
    <cellStyle name="Ênfase5 22 2" xfId="2864" xr:uid="{00000000-0005-0000-0000-0000970A0000}"/>
    <cellStyle name="Ênfase5 22 2 2" xfId="2865" xr:uid="{00000000-0005-0000-0000-0000980A0000}"/>
    <cellStyle name="Ênfase5 22 3" xfId="2866" xr:uid="{00000000-0005-0000-0000-0000990A0000}"/>
    <cellStyle name="Ênfase5 23" xfId="2867" xr:uid="{00000000-0005-0000-0000-00009A0A0000}"/>
    <cellStyle name="Ênfase5 23 2" xfId="2868" xr:uid="{00000000-0005-0000-0000-00009B0A0000}"/>
    <cellStyle name="Ênfase5 23 2 2" xfId="2869" xr:uid="{00000000-0005-0000-0000-00009C0A0000}"/>
    <cellStyle name="Ênfase5 23 3" xfId="2870" xr:uid="{00000000-0005-0000-0000-00009D0A0000}"/>
    <cellStyle name="Ênfase5 24" xfId="2871" xr:uid="{00000000-0005-0000-0000-00009E0A0000}"/>
    <cellStyle name="Ênfase5 24 2" xfId="2872" xr:uid="{00000000-0005-0000-0000-00009F0A0000}"/>
    <cellStyle name="Ênfase5 24 2 2" xfId="2873" xr:uid="{00000000-0005-0000-0000-0000A00A0000}"/>
    <cellStyle name="Ênfase5 24 3" xfId="2874" xr:uid="{00000000-0005-0000-0000-0000A10A0000}"/>
    <cellStyle name="Ênfase5 25" xfId="2875" xr:uid="{00000000-0005-0000-0000-0000A20A0000}"/>
    <cellStyle name="Ênfase5 25 2" xfId="2876" xr:uid="{00000000-0005-0000-0000-0000A30A0000}"/>
    <cellStyle name="Ênfase5 25 2 2" xfId="2877" xr:uid="{00000000-0005-0000-0000-0000A40A0000}"/>
    <cellStyle name="Ênfase5 25 3" xfId="2878" xr:uid="{00000000-0005-0000-0000-0000A50A0000}"/>
    <cellStyle name="Ênfase5 26" xfId="2879" xr:uid="{00000000-0005-0000-0000-0000A60A0000}"/>
    <cellStyle name="Ênfase5 26 2" xfId="2880" xr:uid="{00000000-0005-0000-0000-0000A70A0000}"/>
    <cellStyle name="Ênfase5 26 2 2" xfId="2881" xr:uid="{00000000-0005-0000-0000-0000A80A0000}"/>
    <cellStyle name="Ênfase5 26 3" xfId="2882" xr:uid="{00000000-0005-0000-0000-0000A90A0000}"/>
    <cellStyle name="Ênfase5 27" xfId="2883" xr:uid="{00000000-0005-0000-0000-0000AA0A0000}"/>
    <cellStyle name="Ênfase5 27 2" xfId="2884" xr:uid="{00000000-0005-0000-0000-0000AB0A0000}"/>
    <cellStyle name="Ênfase5 27 2 2" xfId="2885" xr:uid="{00000000-0005-0000-0000-0000AC0A0000}"/>
    <cellStyle name="Ênfase5 27 3" xfId="2886" xr:uid="{00000000-0005-0000-0000-0000AD0A0000}"/>
    <cellStyle name="Ênfase5 28" xfId="2887" xr:uid="{00000000-0005-0000-0000-0000AE0A0000}"/>
    <cellStyle name="Ênfase5 28 2" xfId="2888" xr:uid="{00000000-0005-0000-0000-0000AF0A0000}"/>
    <cellStyle name="Ênfase5 28 2 2" xfId="2889" xr:uid="{00000000-0005-0000-0000-0000B00A0000}"/>
    <cellStyle name="Ênfase5 28 3" xfId="2890" xr:uid="{00000000-0005-0000-0000-0000B10A0000}"/>
    <cellStyle name="Ênfase5 29" xfId="2891" xr:uid="{00000000-0005-0000-0000-0000B20A0000}"/>
    <cellStyle name="Ênfase5 29 2" xfId="2892" xr:uid="{00000000-0005-0000-0000-0000B30A0000}"/>
    <cellStyle name="Ênfase5 29 2 2" xfId="2893" xr:uid="{00000000-0005-0000-0000-0000B40A0000}"/>
    <cellStyle name="Ênfase5 29 3" xfId="2894" xr:uid="{00000000-0005-0000-0000-0000B50A0000}"/>
    <cellStyle name="Ênfase5 3" xfId="2895" xr:uid="{00000000-0005-0000-0000-0000B60A0000}"/>
    <cellStyle name="Ênfase5 3 2" xfId="2896" xr:uid="{00000000-0005-0000-0000-0000B70A0000}"/>
    <cellStyle name="Ênfase5 3 2 2" xfId="2897" xr:uid="{00000000-0005-0000-0000-0000B80A0000}"/>
    <cellStyle name="Ênfase5 3 3" xfId="2898" xr:uid="{00000000-0005-0000-0000-0000B90A0000}"/>
    <cellStyle name="Ênfase5 30" xfId="2899" xr:uid="{00000000-0005-0000-0000-0000BA0A0000}"/>
    <cellStyle name="Ênfase5 30 2" xfId="2900" xr:uid="{00000000-0005-0000-0000-0000BB0A0000}"/>
    <cellStyle name="Ênfase5 30 2 2" xfId="2901" xr:uid="{00000000-0005-0000-0000-0000BC0A0000}"/>
    <cellStyle name="Ênfase5 30 3" xfId="2902" xr:uid="{00000000-0005-0000-0000-0000BD0A0000}"/>
    <cellStyle name="Ênfase5 31" xfId="2903" xr:uid="{00000000-0005-0000-0000-0000BE0A0000}"/>
    <cellStyle name="Ênfase5 31 2" xfId="2904" xr:uid="{00000000-0005-0000-0000-0000BF0A0000}"/>
    <cellStyle name="Ênfase5 31 2 2" xfId="2905" xr:uid="{00000000-0005-0000-0000-0000C00A0000}"/>
    <cellStyle name="Ênfase5 31 3" xfId="2906" xr:uid="{00000000-0005-0000-0000-0000C10A0000}"/>
    <cellStyle name="Ênfase5 32" xfId="2907" xr:uid="{00000000-0005-0000-0000-0000C20A0000}"/>
    <cellStyle name="Ênfase5 32 2" xfId="2908" xr:uid="{00000000-0005-0000-0000-0000C30A0000}"/>
    <cellStyle name="Ênfase5 32 2 2" xfId="2909" xr:uid="{00000000-0005-0000-0000-0000C40A0000}"/>
    <cellStyle name="Ênfase5 32 3" xfId="2910" xr:uid="{00000000-0005-0000-0000-0000C50A0000}"/>
    <cellStyle name="Ênfase5 33" xfId="2911" xr:uid="{00000000-0005-0000-0000-0000C60A0000}"/>
    <cellStyle name="Ênfase5 33 2" xfId="2912" xr:uid="{00000000-0005-0000-0000-0000C70A0000}"/>
    <cellStyle name="Ênfase5 33 2 2" xfId="2913" xr:uid="{00000000-0005-0000-0000-0000C80A0000}"/>
    <cellStyle name="Ênfase5 33 3" xfId="2914" xr:uid="{00000000-0005-0000-0000-0000C90A0000}"/>
    <cellStyle name="Ênfase5 34" xfId="2915" xr:uid="{00000000-0005-0000-0000-0000CA0A0000}"/>
    <cellStyle name="Ênfase5 34 2" xfId="2916" xr:uid="{00000000-0005-0000-0000-0000CB0A0000}"/>
    <cellStyle name="Ênfase5 34 2 2" xfId="2917" xr:uid="{00000000-0005-0000-0000-0000CC0A0000}"/>
    <cellStyle name="Ênfase5 34 3" xfId="2918" xr:uid="{00000000-0005-0000-0000-0000CD0A0000}"/>
    <cellStyle name="Ênfase5 35" xfId="2919" xr:uid="{00000000-0005-0000-0000-0000CE0A0000}"/>
    <cellStyle name="Ênfase5 35 2" xfId="2920" xr:uid="{00000000-0005-0000-0000-0000CF0A0000}"/>
    <cellStyle name="Ênfase5 35 2 2" xfId="2921" xr:uid="{00000000-0005-0000-0000-0000D00A0000}"/>
    <cellStyle name="Ênfase5 35 3" xfId="2922" xr:uid="{00000000-0005-0000-0000-0000D10A0000}"/>
    <cellStyle name="Ênfase5 36" xfId="2923" xr:uid="{00000000-0005-0000-0000-0000D20A0000}"/>
    <cellStyle name="Ênfase5 36 2" xfId="2924" xr:uid="{00000000-0005-0000-0000-0000D30A0000}"/>
    <cellStyle name="Ênfase5 36 2 2" xfId="2925" xr:uid="{00000000-0005-0000-0000-0000D40A0000}"/>
    <cellStyle name="Ênfase5 36 3" xfId="2926" xr:uid="{00000000-0005-0000-0000-0000D50A0000}"/>
    <cellStyle name="Ênfase5 37" xfId="2927" xr:uid="{00000000-0005-0000-0000-0000D60A0000}"/>
    <cellStyle name="Ênfase5 37 2" xfId="2928" xr:uid="{00000000-0005-0000-0000-0000D70A0000}"/>
    <cellStyle name="Ênfase5 37 2 2" xfId="2929" xr:uid="{00000000-0005-0000-0000-0000D80A0000}"/>
    <cellStyle name="Ênfase5 37 3" xfId="2930" xr:uid="{00000000-0005-0000-0000-0000D90A0000}"/>
    <cellStyle name="Ênfase5 4" xfId="2931" xr:uid="{00000000-0005-0000-0000-0000DA0A0000}"/>
    <cellStyle name="Ênfase5 4 2" xfId="2932" xr:uid="{00000000-0005-0000-0000-0000DB0A0000}"/>
    <cellStyle name="Ênfase5 4 2 2" xfId="2933" xr:uid="{00000000-0005-0000-0000-0000DC0A0000}"/>
    <cellStyle name="Ênfase5 4 3" xfId="2934" xr:uid="{00000000-0005-0000-0000-0000DD0A0000}"/>
    <cellStyle name="Ênfase5 5" xfId="2935" xr:uid="{00000000-0005-0000-0000-0000DE0A0000}"/>
    <cellStyle name="Ênfase5 5 2" xfId="2936" xr:uid="{00000000-0005-0000-0000-0000DF0A0000}"/>
    <cellStyle name="Ênfase5 5 2 2" xfId="2937" xr:uid="{00000000-0005-0000-0000-0000E00A0000}"/>
    <cellStyle name="Ênfase5 5 3" xfId="2938" xr:uid="{00000000-0005-0000-0000-0000E10A0000}"/>
    <cellStyle name="Ênfase5 6" xfId="2939" xr:uid="{00000000-0005-0000-0000-0000E20A0000}"/>
    <cellStyle name="Ênfase5 6 2" xfId="2940" xr:uid="{00000000-0005-0000-0000-0000E30A0000}"/>
    <cellStyle name="Ênfase5 6 2 2" xfId="2941" xr:uid="{00000000-0005-0000-0000-0000E40A0000}"/>
    <cellStyle name="Ênfase5 6 3" xfId="2942" xr:uid="{00000000-0005-0000-0000-0000E50A0000}"/>
    <cellStyle name="Ênfase5 7" xfId="2943" xr:uid="{00000000-0005-0000-0000-0000E60A0000}"/>
    <cellStyle name="Ênfase5 7 2" xfId="2944" xr:uid="{00000000-0005-0000-0000-0000E70A0000}"/>
    <cellStyle name="Ênfase5 7 2 2" xfId="2945" xr:uid="{00000000-0005-0000-0000-0000E80A0000}"/>
    <cellStyle name="Ênfase5 7 3" xfId="2946" xr:uid="{00000000-0005-0000-0000-0000E90A0000}"/>
    <cellStyle name="Ênfase5 8" xfId="2947" xr:uid="{00000000-0005-0000-0000-0000EA0A0000}"/>
    <cellStyle name="Ênfase5 8 2" xfId="2948" xr:uid="{00000000-0005-0000-0000-0000EB0A0000}"/>
    <cellStyle name="Ênfase5 8 2 2" xfId="2949" xr:uid="{00000000-0005-0000-0000-0000EC0A0000}"/>
    <cellStyle name="Ênfase5 8 3" xfId="2950" xr:uid="{00000000-0005-0000-0000-0000ED0A0000}"/>
    <cellStyle name="Ênfase5 9" xfId="2951" xr:uid="{00000000-0005-0000-0000-0000EE0A0000}"/>
    <cellStyle name="Ênfase5 9 2" xfId="2952" xr:uid="{00000000-0005-0000-0000-0000EF0A0000}"/>
    <cellStyle name="Ênfase5 9 2 2" xfId="2953" xr:uid="{00000000-0005-0000-0000-0000F00A0000}"/>
    <cellStyle name="Ênfase5 9 3" xfId="2954" xr:uid="{00000000-0005-0000-0000-0000F10A0000}"/>
    <cellStyle name="Ênfase6 10" xfId="2955" xr:uid="{00000000-0005-0000-0000-0000F20A0000}"/>
    <cellStyle name="Ênfase6 10 2" xfId="2956" xr:uid="{00000000-0005-0000-0000-0000F30A0000}"/>
    <cellStyle name="Ênfase6 10 2 2" xfId="2957" xr:uid="{00000000-0005-0000-0000-0000F40A0000}"/>
    <cellStyle name="Ênfase6 10 3" xfId="2958" xr:uid="{00000000-0005-0000-0000-0000F50A0000}"/>
    <cellStyle name="Ênfase6 11" xfId="2959" xr:uid="{00000000-0005-0000-0000-0000F60A0000}"/>
    <cellStyle name="Ênfase6 11 2" xfId="2960" xr:uid="{00000000-0005-0000-0000-0000F70A0000}"/>
    <cellStyle name="Ênfase6 11 2 2" xfId="2961" xr:uid="{00000000-0005-0000-0000-0000F80A0000}"/>
    <cellStyle name="Ênfase6 11 3" xfId="2962" xr:uid="{00000000-0005-0000-0000-0000F90A0000}"/>
    <cellStyle name="Ênfase6 12" xfId="2963" xr:uid="{00000000-0005-0000-0000-0000FA0A0000}"/>
    <cellStyle name="Ênfase6 12 2" xfId="2964" xr:uid="{00000000-0005-0000-0000-0000FB0A0000}"/>
    <cellStyle name="Ênfase6 12 2 2" xfId="2965" xr:uid="{00000000-0005-0000-0000-0000FC0A0000}"/>
    <cellStyle name="Ênfase6 12 3" xfId="2966" xr:uid="{00000000-0005-0000-0000-0000FD0A0000}"/>
    <cellStyle name="Ênfase6 13" xfId="2967" xr:uid="{00000000-0005-0000-0000-0000FE0A0000}"/>
    <cellStyle name="Ênfase6 13 2" xfId="2968" xr:uid="{00000000-0005-0000-0000-0000FF0A0000}"/>
    <cellStyle name="Ênfase6 13 2 2" xfId="2969" xr:uid="{00000000-0005-0000-0000-0000000B0000}"/>
    <cellStyle name="Ênfase6 13 3" xfId="2970" xr:uid="{00000000-0005-0000-0000-0000010B0000}"/>
    <cellStyle name="Ênfase6 14" xfId="2971" xr:uid="{00000000-0005-0000-0000-0000020B0000}"/>
    <cellStyle name="Ênfase6 14 2" xfId="2972" xr:uid="{00000000-0005-0000-0000-0000030B0000}"/>
    <cellStyle name="Ênfase6 14 2 2" xfId="2973" xr:uid="{00000000-0005-0000-0000-0000040B0000}"/>
    <cellStyle name="Ênfase6 14 3" xfId="2974" xr:uid="{00000000-0005-0000-0000-0000050B0000}"/>
    <cellStyle name="Ênfase6 15" xfId="2975" xr:uid="{00000000-0005-0000-0000-0000060B0000}"/>
    <cellStyle name="Ênfase6 15 2" xfId="2976" xr:uid="{00000000-0005-0000-0000-0000070B0000}"/>
    <cellStyle name="Ênfase6 15 2 2" xfId="2977" xr:uid="{00000000-0005-0000-0000-0000080B0000}"/>
    <cellStyle name="Ênfase6 15 3" xfId="2978" xr:uid="{00000000-0005-0000-0000-0000090B0000}"/>
    <cellStyle name="Ênfase6 16" xfId="2979" xr:uid="{00000000-0005-0000-0000-00000A0B0000}"/>
    <cellStyle name="Ênfase6 16 2" xfId="2980" xr:uid="{00000000-0005-0000-0000-00000B0B0000}"/>
    <cellStyle name="Ênfase6 16 2 2" xfId="2981" xr:uid="{00000000-0005-0000-0000-00000C0B0000}"/>
    <cellStyle name="Ênfase6 16 3" xfId="2982" xr:uid="{00000000-0005-0000-0000-00000D0B0000}"/>
    <cellStyle name="Ênfase6 17" xfId="2983" xr:uid="{00000000-0005-0000-0000-00000E0B0000}"/>
    <cellStyle name="Ênfase6 17 2" xfId="2984" xr:uid="{00000000-0005-0000-0000-00000F0B0000}"/>
    <cellStyle name="Ênfase6 17 2 2" xfId="2985" xr:uid="{00000000-0005-0000-0000-0000100B0000}"/>
    <cellStyle name="Ênfase6 17 3" xfId="2986" xr:uid="{00000000-0005-0000-0000-0000110B0000}"/>
    <cellStyle name="Ênfase6 18" xfId="2987" xr:uid="{00000000-0005-0000-0000-0000120B0000}"/>
    <cellStyle name="Ênfase6 18 2" xfId="2988" xr:uid="{00000000-0005-0000-0000-0000130B0000}"/>
    <cellStyle name="Ênfase6 18 2 2" xfId="2989" xr:uid="{00000000-0005-0000-0000-0000140B0000}"/>
    <cellStyle name="Ênfase6 18 3" xfId="2990" xr:uid="{00000000-0005-0000-0000-0000150B0000}"/>
    <cellStyle name="Ênfase6 19" xfId="2991" xr:uid="{00000000-0005-0000-0000-0000160B0000}"/>
    <cellStyle name="Ênfase6 19 2" xfId="2992" xr:uid="{00000000-0005-0000-0000-0000170B0000}"/>
    <cellStyle name="Ênfase6 19 2 2" xfId="2993" xr:uid="{00000000-0005-0000-0000-0000180B0000}"/>
    <cellStyle name="Ênfase6 19 3" xfId="2994" xr:uid="{00000000-0005-0000-0000-0000190B0000}"/>
    <cellStyle name="Ênfase6 2" xfId="2995" xr:uid="{00000000-0005-0000-0000-00001A0B0000}"/>
    <cellStyle name="Ênfase6 2 2" xfId="2996" xr:uid="{00000000-0005-0000-0000-00001B0B0000}"/>
    <cellStyle name="Ênfase6 2 2 2" xfId="2997" xr:uid="{00000000-0005-0000-0000-00001C0B0000}"/>
    <cellStyle name="Ênfase6 2 2 2 2" xfId="2998" xr:uid="{00000000-0005-0000-0000-00001D0B0000}"/>
    <cellStyle name="Ênfase6 2 2 3" xfId="2999" xr:uid="{00000000-0005-0000-0000-00001E0B0000}"/>
    <cellStyle name="Ênfase6 2 3" xfId="3000" xr:uid="{00000000-0005-0000-0000-00001F0B0000}"/>
    <cellStyle name="Ênfase6 20" xfId="3001" xr:uid="{00000000-0005-0000-0000-0000200B0000}"/>
    <cellStyle name="Ênfase6 20 2" xfId="3002" xr:uid="{00000000-0005-0000-0000-0000210B0000}"/>
    <cellStyle name="Ênfase6 20 2 2" xfId="3003" xr:uid="{00000000-0005-0000-0000-0000220B0000}"/>
    <cellStyle name="Ênfase6 20 3" xfId="3004" xr:uid="{00000000-0005-0000-0000-0000230B0000}"/>
    <cellStyle name="Ênfase6 21" xfId="3005" xr:uid="{00000000-0005-0000-0000-0000240B0000}"/>
    <cellStyle name="Ênfase6 21 2" xfId="3006" xr:uid="{00000000-0005-0000-0000-0000250B0000}"/>
    <cellStyle name="Ênfase6 21 2 2" xfId="3007" xr:uid="{00000000-0005-0000-0000-0000260B0000}"/>
    <cellStyle name="Ênfase6 21 3" xfId="3008" xr:uid="{00000000-0005-0000-0000-0000270B0000}"/>
    <cellStyle name="Ênfase6 22" xfId="3009" xr:uid="{00000000-0005-0000-0000-0000280B0000}"/>
    <cellStyle name="Ênfase6 22 2" xfId="3010" xr:uid="{00000000-0005-0000-0000-0000290B0000}"/>
    <cellStyle name="Ênfase6 22 2 2" xfId="3011" xr:uid="{00000000-0005-0000-0000-00002A0B0000}"/>
    <cellStyle name="Ênfase6 22 3" xfId="3012" xr:uid="{00000000-0005-0000-0000-00002B0B0000}"/>
    <cellStyle name="Ênfase6 23" xfId="3013" xr:uid="{00000000-0005-0000-0000-00002C0B0000}"/>
    <cellStyle name="Ênfase6 23 2" xfId="3014" xr:uid="{00000000-0005-0000-0000-00002D0B0000}"/>
    <cellStyle name="Ênfase6 23 2 2" xfId="3015" xr:uid="{00000000-0005-0000-0000-00002E0B0000}"/>
    <cellStyle name="Ênfase6 23 3" xfId="3016" xr:uid="{00000000-0005-0000-0000-00002F0B0000}"/>
    <cellStyle name="Ênfase6 24" xfId="3017" xr:uid="{00000000-0005-0000-0000-0000300B0000}"/>
    <cellStyle name="Ênfase6 24 2" xfId="3018" xr:uid="{00000000-0005-0000-0000-0000310B0000}"/>
    <cellStyle name="Ênfase6 24 2 2" xfId="3019" xr:uid="{00000000-0005-0000-0000-0000320B0000}"/>
    <cellStyle name="Ênfase6 24 3" xfId="3020" xr:uid="{00000000-0005-0000-0000-0000330B0000}"/>
    <cellStyle name="Ênfase6 25" xfId="3021" xr:uid="{00000000-0005-0000-0000-0000340B0000}"/>
    <cellStyle name="Ênfase6 25 2" xfId="3022" xr:uid="{00000000-0005-0000-0000-0000350B0000}"/>
    <cellStyle name="Ênfase6 25 2 2" xfId="3023" xr:uid="{00000000-0005-0000-0000-0000360B0000}"/>
    <cellStyle name="Ênfase6 25 3" xfId="3024" xr:uid="{00000000-0005-0000-0000-0000370B0000}"/>
    <cellStyle name="Ênfase6 26" xfId="3025" xr:uid="{00000000-0005-0000-0000-0000380B0000}"/>
    <cellStyle name="Ênfase6 26 2" xfId="3026" xr:uid="{00000000-0005-0000-0000-0000390B0000}"/>
    <cellStyle name="Ênfase6 26 2 2" xfId="3027" xr:uid="{00000000-0005-0000-0000-00003A0B0000}"/>
    <cellStyle name="Ênfase6 26 3" xfId="3028" xr:uid="{00000000-0005-0000-0000-00003B0B0000}"/>
    <cellStyle name="Ênfase6 27" xfId="3029" xr:uid="{00000000-0005-0000-0000-00003C0B0000}"/>
    <cellStyle name="Ênfase6 27 2" xfId="3030" xr:uid="{00000000-0005-0000-0000-00003D0B0000}"/>
    <cellStyle name="Ênfase6 27 2 2" xfId="3031" xr:uid="{00000000-0005-0000-0000-00003E0B0000}"/>
    <cellStyle name="Ênfase6 27 3" xfId="3032" xr:uid="{00000000-0005-0000-0000-00003F0B0000}"/>
    <cellStyle name="Ênfase6 28" xfId="3033" xr:uid="{00000000-0005-0000-0000-0000400B0000}"/>
    <cellStyle name="Ênfase6 28 2" xfId="3034" xr:uid="{00000000-0005-0000-0000-0000410B0000}"/>
    <cellStyle name="Ênfase6 28 2 2" xfId="3035" xr:uid="{00000000-0005-0000-0000-0000420B0000}"/>
    <cellStyle name="Ênfase6 28 3" xfId="3036" xr:uid="{00000000-0005-0000-0000-0000430B0000}"/>
    <cellStyle name="Ênfase6 29" xfId="3037" xr:uid="{00000000-0005-0000-0000-0000440B0000}"/>
    <cellStyle name="Ênfase6 29 2" xfId="3038" xr:uid="{00000000-0005-0000-0000-0000450B0000}"/>
    <cellStyle name="Ênfase6 29 2 2" xfId="3039" xr:uid="{00000000-0005-0000-0000-0000460B0000}"/>
    <cellStyle name="Ênfase6 29 3" xfId="3040" xr:uid="{00000000-0005-0000-0000-0000470B0000}"/>
    <cellStyle name="Ênfase6 3" xfId="3041" xr:uid="{00000000-0005-0000-0000-0000480B0000}"/>
    <cellStyle name="Ênfase6 3 2" xfId="3042" xr:uid="{00000000-0005-0000-0000-0000490B0000}"/>
    <cellStyle name="Ênfase6 3 2 2" xfId="3043" xr:uid="{00000000-0005-0000-0000-00004A0B0000}"/>
    <cellStyle name="Ênfase6 3 3" xfId="3044" xr:uid="{00000000-0005-0000-0000-00004B0B0000}"/>
    <cellStyle name="Ênfase6 30" xfId="3045" xr:uid="{00000000-0005-0000-0000-00004C0B0000}"/>
    <cellStyle name="Ênfase6 30 2" xfId="3046" xr:uid="{00000000-0005-0000-0000-00004D0B0000}"/>
    <cellStyle name="Ênfase6 30 2 2" xfId="3047" xr:uid="{00000000-0005-0000-0000-00004E0B0000}"/>
    <cellStyle name="Ênfase6 30 3" xfId="3048" xr:uid="{00000000-0005-0000-0000-00004F0B0000}"/>
    <cellStyle name="Ênfase6 31" xfId="3049" xr:uid="{00000000-0005-0000-0000-0000500B0000}"/>
    <cellStyle name="Ênfase6 31 2" xfId="3050" xr:uid="{00000000-0005-0000-0000-0000510B0000}"/>
    <cellStyle name="Ênfase6 31 2 2" xfId="3051" xr:uid="{00000000-0005-0000-0000-0000520B0000}"/>
    <cellStyle name="Ênfase6 31 3" xfId="3052" xr:uid="{00000000-0005-0000-0000-0000530B0000}"/>
    <cellStyle name="Ênfase6 32" xfId="3053" xr:uid="{00000000-0005-0000-0000-0000540B0000}"/>
    <cellStyle name="Ênfase6 32 2" xfId="3054" xr:uid="{00000000-0005-0000-0000-0000550B0000}"/>
    <cellStyle name="Ênfase6 32 2 2" xfId="3055" xr:uid="{00000000-0005-0000-0000-0000560B0000}"/>
    <cellStyle name="Ênfase6 32 3" xfId="3056" xr:uid="{00000000-0005-0000-0000-0000570B0000}"/>
    <cellStyle name="Ênfase6 33" xfId="3057" xr:uid="{00000000-0005-0000-0000-0000580B0000}"/>
    <cellStyle name="Ênfase6 33 2" xfId="3058" xr:uid="{00000000-0005-0000-0000-0000590B0000}"/>
    <cellStyle name="Ênfase6 33 2 2" xfId="3059" xr:uid="{00000000-0005-0000-0000-00005A0B0000}"/>
    <cellStyle name="Ênfase6 33 3" xfId="3060" xr:uid="{00000000-0005-0000-0000-00005B0B0000}"/>
    <cellStyle name="Ênfase6 34" xfId="3061" xr:uid="{00000000-0005-0000-0000-00005C0B0000}"/>
    <cellStyle name="Ênfase6 34 2" xfId="3062" xr:uid="{00000000-0005-0000-0000-00005D0B0000}"/>
    <cellStyle name="Ênfase6 34 2 2" xfId="3063" xr:uid="{00000000-0005-0000-0000-00005E0B0000}"/>
    <cellStyle name="Ênfase6 34 3" xfId="3064" xr:uid="{00000000-0005-0000-0000-00005F0B0000}"/>
    <cellStyle name="Ênfase6 35" xfId="3065" xr:uid="{00000000-0005-0000-0000-0000600B0000}"/>
    <cellStyle name="Ênfase6 35 2" xfId="3066" xr:uid="{00000000-0005-0000-0000-0000610B0000}"/>
    <cellStyle name="Ênfase6 35 2 2" xfId="3067" xr:uid="{00000000-0005-0000-0000-0000620B0000}"/>
    <cellStyle name="Ênfase6 35 3" xfId="3068" xr:uid="{00000000-0005-0000-0000-0000630B0000}"/>
    <cellStyle name="Ênfase6 36" xfId="3069" xr:uid="{00000000-0005-0000-0000-0000640B0000}"/>
    <cellStyle name="Ênfase6 36 2" xfId="3070" xr:uid="{00000000-0005-0000-0000-0000650B0000}"/>
    <cellStyle name="Ênfase6 36 2 2" xfId="3071" xr:uid="{00000000-0005-0000-0000-0000660B0000}"/>
    <cellStyle name="Ênfase6 36 3" xfId="3072" xr:uid="{00000000-0005-0000-0000-0000670B0000}"/>
    <cellStyle name="Ênfase6 37" xfId="3073" xr:uid="{00000000-0005-0000-0000-0000680B0000}"/>
    <cellStyle name="Ênfase6 37 2" xfId="3074" xr:uid="{00000000-0005-0000-0000-0000690B0000}"/>
    <cellStyle name="Ênfase6 37 2 2" xfId="3075" xr:uid="{00000000-0005-0000-0000-00006A0B0000}"/>
    <cellStyle name="Ênfase6 37 3" xfId="3076" xr:uid="{00000000-0005-0000-0000-00006B0B0000}"/>
    <cellStyle name="Ênfase6 4" xfId="3077" xr:uid="{00000000-0005-0000-0000-00006C0B0000}"/>
    <cellStyle name="Ênfase6 4 2" xfId="3078" xr:uid="{00000000-0005-0000-0000-00006D0B0000}"/>
    <cellStyle name="Ênfase6 4 2 2" xfId="3079" xr:uid="{00000000-0005-0000-0000-00006E0B0000}"/>
    <cellStyle name="Ênfase6 4 3" xfId="3080" xr:uid="{00000000-0005-0000-0000-00006F0B0000}"/>
    <cellStyle name="Ênfase6 5" xfId="3081" xr:uid="{00000000-0005-0000-0000-0000700B0000}"/>
    <cellStyle name="Ênfase6 5 2" xfId="3082" xr:uid="{00000000-0005-0000-0000-0000710B0000}"/>
    <cellStyle name="Ênfase6 5 2 2" xfId="3083" xr:uid="{00000000-0005-0000-0000-0000720B0000}"/>
    <cellStyle name="Ênfase6 5 3" xfId="3084" xr:uid="{00000000-0005-0000-0000-0000730B0000}"/>
    <cellStyle name="Ênfase6 6" xfId="3085" xr:uid="{00000000-0005-0000-0000-0000740B0000}"/>
    <cellStyle name="Ênfase6 6 2" xfId="3086" xr:uid="{00000000-0005-0000-0000-0000750B0000}"/>
    <cellStyle name="Ênfase6 6 2 2" xfId="3087" xr:uid="{00000000-0005-0000-0000-0000760B0000}"/>
    <cellStyle name="Ênfase6 6 3" xfId="3088" xr:uid="{00000000-0005-0000-0000-0000770B0000}"/>
    <cellStyle name="Ênfase6 7" xfId="3089" xr:uid="{00000000-0005-0000-0000-0000780B0000}"/>
    <cellStyle name="Ênfase6 7 2" xfId="3090" xr:uid="{00000000-0005-0000-0000-0000790B0000}"/>
    <cellStyle name="Ênfase6 7 2 2" xfId="3091" xr:uid="{00000000-0005-0000-0000-00007A0B0000}"/>
    <cellStyle name="Ênfase6 7 3" xfId="3092" xr:uid="{00000000-0005-0000-0000-00007B0B0000}"/>
    <cellStyle name="Ênfase6 8" xfId="3093" xr:uid="{00000000-0005-0000-0000-00007C0B0000}"/>
    <cellStyle name="Ênfase6 8 2" xfId="3094" xr:uid="{00000000-0005-0000-0000-00007D0B0000}"/>
    <cellStyle name="Ênfase6 8 2 2" xfId="3095" xr:uid="{00000000-0005-0000-0000-00007E0B0000}"/>
    <cellStyle name="Ênfase6 8 3" xfId="3096" xr:uid="{00000000-0005-0000-0000-00007F0B0000}"/>
    <cellStyle name="Ênfase6 9" xfId="3097" xr:uid="{00000000-0005-0000-0000-0000800B0000}"/>
    <cellStyle name="Ênfase6 9 2" xfId="3098" xr:uid="{00000000-0005-0000-0000-0000810B0000}"/>
    <cellStyle name="Ênfase6 9 2 2" xfId="3099" xr:uid="{00000000-0005-0000-0000-0000820B0000}"/>
    <cellStyle name="Ênfase6 9 3" xfId="3100" xr:uid="{00000000-0005-0000-0000-0000830B0000}"/>
    <cellStyle name="Entrada 10" xfId="3101" xr:uid="{00000000-0005-0000-0000-0000840B0000}"/>
    <cellStyle name="Entrada 10 2" xfId="3102" xr:uid="{00000000-0005-0000-0000-0000850B0000}"/>
    <cellStyle name="Entrada 10 2 2" xfId="3103" xr:uid="{00000000-0005-0000-0000-0000860B0000}"/>
    <cellStyle name="Entrada 10 3" xfId="3104" xr:uid="{00000000-0005-0000-0000-0000870B0000}"/>
    <cellStyle name="Entrada 11" xfId="3105" xr:uid="{00000000-0005-0000-0000-0000880B0000}"/>
    <cellStyle name="Entrada 11 2" xfId="3106" xr:uid="{00000000-0005-0000-0000-0000890B0000}"/>
    <cellStyle name="Entrada 11 2 2" xfId="3107" xr:uid="{00000000-0005-0000-0000-00008A0B0000}"/>
    <cellStyle name="Entrada 11 3" xfId="3108" xr:uid="{00000000-0005-0000-0000-00008B0B0000}"/>
    <cellStyle name="Entrada 12" xfId="3109" xr:uid="{00000000-0005-0000-0000-00008C0B0000}"/>
    <cellStyle name="Entrada 12 2" xfId="3110" xr:uid="{00000000-0005-0000-0000-00008D0B0000}"/>
    <cellStyle name="Entrada 12 2 2" xfId="3111" xr:uid="{00000000-0005-0000-0000-00008E0B0000}"/>
    <cellStyle name="Entrada 12 3" xfId="3112" xr:uid="{00000000-0005-0000-0000-00008F0B0000}"/>
    <cellStyle name="Entrada 13" xfId="3113" xr:uid="{00000000-0005-0000-0000-0000900B0000}"/>
    <cellStyle name="Entrada 13 2" xfId="3114" xr:uid="{00000000-0005-0000-0000-0000910B0000}"/>
    <cellStyle name="Entrada 13 2 2" xfId="3115" xr:uid="{00000000-0005-0000-0000-0000920B0000}"/>
    <cellStyle name="Entrada 13 3" xfId="3116" xr:uid="{00000000-0005-0000-0000-0000930B0000}"/>
    <cellStyle name="Entrada 14" xfId="3117" xr:uid="{00000000-0005-0000-0000-0000940B0000}"/>
    <cellStyle name="Entrada 14 2" xfId="3118" xr:uid="{00000000-0005-0000-0000-0000950B0000}"/>
    <cellStyle name="Entrada 14 2 2" xfId="3119" xr:uid="{00000000-0005-0000-0000-0000960B0000}"/>
    <cellStyle name="Entrada 14 3" xfId="3120" xr:uid="{00000000-0005-0000-0000-0000970B0000}"/>
    <cellStyle name="Entrada 15" xfId="3121" xr:uid="{00000000-0005-0000-0000-0000980B0000}"/>
    <cellStyle name="Entrada 15 2" xfId="3122" xr:uid="{00000000-0005-0000-0000-0000990B0000}"/>
    <cellStyle name="Entrada 15 2 2" xfId="3123" xr:uid="{00000000-0005-0000-0000-00009A0B0000}"/>
    <cellStyle name="Entrada 15 3" xfId="3124" xr:uid="{00000000-0005-0000-0000-00009B0B0000}"/>
    <cellStyle name="Entrada 16" xfId="3125" xr:uid="{00000000-0005-0000-0000-00009C0B0000}"/>
    <cellStyle name="Entrada 16 2" xfId="3126" xr:uid="{00000000-0005-0000-0000-00009D0B0000}"/>
    <cellStyle name="Entrada 16 2 2" xfId="3127" xr:uid="{00000000-0005-0000-0000-00009E0B0000}"/>
    <cellStyle name="Entrada 16 3" xfId="3128" xr:uid="{00000000-0005-0000-0000-00009F0B0000}"/>
    <cellStyle name="Entrada 17" xfId="3129" xr:uid="{00000000-0005-0000-0000-0000A00B0000}"/>
    <cellStyle name="Entrada 17 2" xfId="3130" xr:uid="{00000000-0005-0000-0000-0000A10B0000}"/>
    <cellStyle name="Entrada 17 2 2" xfId="3131" xr:uid="{00000000-0005-0000-0000-0000A20B0000}"/>
    <cellStyle name="Entrada 17 3" xfId="3132" xr:uid="{00000000-0005-0000-0000-0000A30B0000}"/>
    <cellStyle name="Entrada 18" xfId="3133" xr:uid="{00000000-0005-0000-0000-0000A40B0000}"/>
    <cellStyle name="Entrada 18 2" xfId="3134" xr:uid="{00000000-0005-0000-0000-0000A50B0000}"/>
    <cellStyle name="Entrada 18 2 2" xfId="3135" xr:uid="{00000000-0005-0000-0000-0000A60B0000}"/>
    <cellStyle name="Entrada 18 3" xfId="3136" xr:uid="{00000000-0005-0000-0000-0000A70B0000}"/>
    <cellStyle name="Entrada 19" xfId="3137" xr:uid="{00000000-0005-0000-0000-0000A80B0000}"/>
    <cellStyle name="Entrada 19 2" xfId="3138" xr:uid="{00000000-0005-0000-0000-0000A90B0000}"/>
    <cellStyle name="Entrada 19 2 2" xfId="3139" xr:uid="{00000000-0005-0000-0000-0000AA0B0000}"/>
    <cellStyle name="Entrada 19 3" xfId="3140" xr:uid="{00000000-0005-0000-0000-0000AB0B0000}"/>
    <cellStyle name="Entrada 2" xfId="3141" xr:uid="{00000000-0005-0000-0000-0000AC0B0000}"/>
    <cellStyle name="Entrada 2 2" xfId="3142" xr:uid="{00000000-0005-0000-0000-0000AD0B0000}"/>
    <cellStyle name="Entrada 2 2 2" xfId="3143" xr:uid="{00000000-0005-0000-0000-0000AE0B0000}"/>
    <cellStyle name="Entrada 2 2 2 2" xfId="3144" xr:uid="{00000000-0005-0000-0000-0000AF0B0000}"/>
    <cellStyle name="Entrada 2 2 3" xfId="3145" xr:uid="{00000000-0005-0000-0000-0000B00B0000}"/>
    <cellStyle name="Entrada 2 3" xfId="3146" xr:uid="{00000000-0005-0000-0000-0000B10B0000}"/>
    <cellStyle name="Entrada 20" xfId="3147" xr:uid="{00000000-0005-0000-0000-0000B20B0000}"/>
    <cellStyle name="Entrada 20 2" xfId="3148" xr:uid="{00000000-0005-0000-0000-0000B30B0000}"/>
    <cellStyle name="Entrada 20 2 2" xfId="3149" xr:uid="{00000000-0005-0000-0000-0000B40B0000}"/>
    <cellStyle name="Entrada 20 3" xfId="3150" xr:uid="{00000000-0005-0000-0000-0000B50B0000}"/>
    <cellStyle name="Entrada 21" xfId="3151" xr:uid="{00000000-0005-0000-0000-0000B60B0000}"/>
    <cellStyle name="Entrada 21 2" xfId="3152" xr:uid="{00000000-0005-0000-0000-0000B70B0000}"/>
    <cellStyle name="Entrada 21 2 2" xfId="3153" xr:uid="{00000000-0005-0000-0000-0000B80B0000}"/>
    <cellStyle name="Entrada 21 3" xfId="3154" xr:uid="{00000000-0005-0000-0000-0000B90B0000}"/>
    <cellStyle name="Entrada 22" xfId="3155" xr:uid="{00000000-0005-0000-0000-0000BA0B0000}"/>
    <cellStyle name="Entrada 22 2" xfId="3156" xr:uid="{00000000-0005-0000-0000-0000BB0B0000}"/>
    <cellStyle name="Entrada 22 2 2" xfId="3157" xr:uid="{00000000-0005-0000-0000-0000BC0B0000}"/>
    <cellStyle name="Entrada 22 3" xfId="3158" xr:uid="{00000000-0005-0000-0000-0000BD0B0000}"/>
    <cellStyle name="Entrada 23" xfId="3159" xr:uid="{00000000-0005-0000-0000-0000BE0B0000}"/>
    <cellStyle name="Entrada 23 2" xfId="3160" xr:uid="{00000000-0005-0000-0000-0000BF0B0000}"/>
    <cellStyle name="Entrada 23 2 2" xfId="3161" xr:uid="{00000000-0005-0000-0000-0000C00B0000}"/>
    <cellStyle name="Entrada 23 3" xfId="3162" xr:uid="{00000000-0005-0000-0000-0000C10B0000}"/>
    <cellStyle name="Entrada 24" xfId="3163" xr:uid="{00000000-0005-0000-0000-0000C20B0000}"/>
    <cellStyle name="Entrada 24 2" xfId="3164" xr:uid="{00000000-0005-0000-0000-0000C30B0000}"/>
    <cellStyle name="Entrada 24 2 2" xfId="3165" xr:uid="{00000000-0005-0000-0000-0000C40B0000}"/>
    <cellStyle name="Entrada 24 3" xfId="3166" xr:uid="{00000000-0005-0000-0000-0000C50B0000}"/>
    <cellStyle name="Entrada 25" xfId="3167" xr:uid="{00000000-0005-0000-0000-0000C60B0000}"/>
    <cellStyle name="Entrada 25 2" xfId="3168" xr:uid="{00000000-0005-0000-0000-0000C70B0000}"/>
    <cellStyle name="Entrada 25 2 2" xfId="3169" xr:uid="{00000000-0005-0000-0000-0000C80B0000}"/>
    <cellStyle name="Entrada 25 3" xfId="3170" xr:uid="{00000000-0005-0000-0000-0000C90B0000}"/>
    <cellStyle name="Entrada 26" xfId="3171" xr:uid="{00000000-0005-0000-0000-0000CA0B0000}"/>
    <cellStyle name="Entrada 26 2" xfId="3172" xr:uid="{00000000-0005-0000-0000-0000CB0B0000}"/>
    <cellStyle name="Entrada 26 2 2" xfId="3173" xr:uid="{00000000-0005-0000-0000-0000CC0B0000}"/>
    <cellStyle name="Entrada 26 3" xfId="3174" xr:uid="{00000000-0005-0000-0000-0000CD0B0000}"/>
    <cellStyle name="Entrada 27" xfId="3175" xr:uid="{00000000-0005-0000-0000-0000CE0B0000}"/>
    <cellStyle name="Entrada 27 2" xfId="3176" xr:uid="{00000000-0005-0000-0000-0000CF0B0000}"/>
    <cellStyle name="Entrada 27 2 2" xfId="3177" xr:uid="{00000000-0005-0000-0000-0000D00B0000}"/>
    <cellStyle name="Entrada 27 3" xfId="3178" xr:uid="{00000000-0005-0000-0000-0000D10B0000}"/>
    <cellStyle name="Entrada 28" xfId="3179" xr:uid="{00000000-0005-0000-0000-0000D20B0000}"/>
    <cellStyle name="Entrada 28 2" xfId="3180" xr:uid="{00000000-0005-0000-0000-0000D30B0000}"/>
    <cellStyle name="Entrada 28 2 2" xfId="3181" xr:uid="{00000000-0005-0000-0000-0000D40B0000}"/>
    <cellStyle name="Entrada 28 3" xfId="3182" xr:uid="{00000000-0005-0000-0000-0000D50B0000}"/>
    <cellStyle name="Entrada 29" xfId="3183" xr:uid="{00000000-0005-0000-0000-0000D60B0000}"/>
    <cellStyle name="Entrada 29 2" xfId="3184" xr:uid="{00000000-0005-0000-0000-0000D70B0000}"/>
    <cellStyle name="Entrada 29 2 2" xfId="3185" xr:uid="{00000000-0005-0000-0000-0000D80B0000}"/>
    <cellStyle name="Entrada 29 3" xfId="3186" xr:uid="{00000000-0005-0000-0000-0000D90B0000}"/>
    <cellStyle name="Entrada 3" xfId="3187" xr:uid="{00000000-0005-0000-0000-0000DA0B0000}"/>
    <cellStyle name="Entrada 3 2" xfId="3188" xr:uid="{00000000-0005-0000-0000-0000DB0B0000}"/>
    <cellStyle name="Entrada 3 2 2" xfId="3189" xr:uid="{00000000-0005-0000-0000-0000DC0B0000}"/>
    <cellStyle name="Entrada 3 3" xfId="3190" xr:uid="{00000000-0005-0000-0000-0000DD0B0000}"/>
    <cellStyle name="Entrada 30" xfId="3191" xr:uid="{00000000-0005-0000-0000-0000DE0B0000}"/>
    <cellStyle name="Entrada 30 2" xfId="3192" xr:uid="{00000000-0005-0000-0000-0000DF0B0000}"/>
    <cellStyle name="Entrada 30 2 2" xfId="3193" xr:uid="{00000000-0005-0000-0000-0000E00B0000}"/>
    <cellStyle name="Entrada 30 3" xfId="3194" xr:uid="{00000000-0005-0000-0000-0000E10B0000}"/>
    <cellStyle name="Entrada 31" xfId="3195" xr:uid="{00000000-0005-0000-0000-0000E20B0000}"/>
    <cellStyle name="Entrada 31 2" xfId="3196" xr:uid="{00000000-0005-0000-0000-0000E30B0000}"/>
    <cellStyle name="Entrada 31 2 2" xfId="3197" xr:uid="{00000000-0005-0000-0000-0000E40B0000}"/>
    <cellStyle name="Entrada 31 3" xfId="3198" xr:uid="{00000000-0005-0000-0000-0000E50B0000}"/>
    <cellStyle name="Entrada 32" xfId="3199" xr:uid="{00000000-0005-0000-0000-0000E60B0000}"/>
    <cellStyle name="Entrada 32 2" xfId="3200" xr:uid="{00000000-0005-0000-0000-0000E70B0000}"/>
    <cellStyle name="Entrada 32 2 2" xfId="3201" xr:uid="{00000000-0005-0000-0000-0000E80B0000}"/>
    <cellStyle name="Entrada 32 3" xfId="3202" xr:uid="{00000000-0005-0000-0000-0000E90B0000}"/>
    <cellStyle name="Entrada 33" xfId="3203" xr:uid="{00000000-0005-0000-0000-0000EA0B0000}"/>
    <cellStyle name="Entrada 33 2" xfId="3204" xr:uid="{00000000-0005-0000-0000-0000EB0B0000}"/>
    <cellStyle name="Entrada 33 2 2" xfId="3205" xr:uid="{00000000-0005-0000-0000-0000EC0B0000}"/>
    <cellStyle name="Entrada 33 3" xfId="3206" xr:uid="{00000000-0005-0000-0000-0000ED0B0000}"/>
    <cellStyle name="Entrada 34" xfId="3207" xr:uid="{00000000-0005-0000-0000-0000EE0B0000}"/>
    <cellStyle name="Entrada 34 2" xfId="3208" xr:uid="{00000000-0005-0000-0000-0000EF0B0000}"/>
    <cellStyle name="Entrada 34 2 2" xfId="3209" xr:uid="{00000000-0005-0000-0000-0000F00B0000}"/>
    <cellStyle name="Entrada 34 3" xfId="3210" xr:uid="{00000000-0005-0000-0000-0000F10B0000}"/>
    <cellStyle name="Entrada 35" xfId="3211" xr:uid="{00000000-0005-0000-0000-0000F20B0000}"/>
    <cellStyle name="Entrada 35 2" xfId="3212" xr:uid="{00000000-0005-0000-0000-0000F30B0000}"/>
    <cellStyle name="Entrada 35 2 2" xfId="3213" xr:uid="{00000000-0005-0000-0000-0000F40B0000}"/>
    <cellStyle name="Entrada 35 3" xfId="3214" xr:uid="{00000000-0005-0000-0000-0000F50B0000}"/>
    <cellStyle name="Entrada 36" xfId="3215" xr:uid="{00000000-0005-0000-0000-0000F60B0000}"/>
    <cellStyle name="Entrada 36 2" xfId="3216" xr:uid="{00000000-0005-0000-0000-0000F70B0000}"/>
    <cellStyle name="Entrada 36 2 2" xfId="3217" xr:uid="{00000000-0005-0000-0000-0000F80B0000}"/>
    <cellStyle name="Entrada 36 3" xfId="3218" xr:uid="{00000000-0005-0000-0000-0000F90B0000}"/>
    <cellStyle name="Entrada 37" xfId="3219" xr:uid="{00000000-0005-0000-0000-0000FA0B0000}"/>
    <cellStyle name="Entrada 37 2" xfId="3220" xr:uid="{00000000-0005-0000-0000-0000FB0B0000}"/>
    <cellStyle name="Entrada 37 2 2" xfId="3221" xr:uid="{00000000-0005-0000-0000-0000FC0B0000}"/>
    <cellStyle name="Entrada 37 3" xfId="3222" xr:uid="{00000000-0005-0000-0000-0000FD0B0000}"/>
    <cellStyle name="Entrada 4" xfId="3223" xr:uid="{00000000-0005-0000-0000-0000FE0B0000}"/>
    <cellStyle name="Entrada 4 2" xfId="3224" xr:uid="{00000000-0005-0000-0000-0000FF0B0000}"/>
    <cellStyle name="Entrada 4 2 2" xfId="3225" xr:uid="{00000000-0005-0000-0000-0000000C0000}"/>
    <cellStyle name="Entrada 4 3" xfId="3226" xr:uid="{00000000-0005-0000-0000-0000010C0000}"/>
    <cellStyle name="Entrada 5" xfId="3227" xr:uid="{00000000-0005-0000-0000-0000020C0000}"/>
    <cellStyle name="Entrada 5 2" xfId="3228" xr:uid="{00000000-0005-0000-0000-0000030C0000}"/>
    <cellStyle name="Entrada 5 2 2" xfId="3229" xr:uid="{00000000-0005-0000-0000-0000040C0000}"/>
    <cellStyle name="Entrada 5 3" xfId="3230" xr:uid="{00000000-0005-0000-0000-0000050C0000}"/>
    <cellStyle name="Entrada 6" xfId="3231" xr:uid="{00000000-0005-0000-0000-0000060C0000}"/>
    <cellStyle name="Entrada 6 2" xfId="3232" xr:uid="{00000000-0005-0000-0000-0000070C0000}"/>
    <cellStyle name="Entrada 6 2 2" xfId="3233" xr:uid="{00000000-0005-0000-0000-0000080C0000}"/>
    <cellStyle name="Entrada 6 3" xfId="3234" xr:uid="{00000000-0005-0000-0000-0000090C0000}"/>
    <cellStyle name="Entrada 7" xfId="3235" xr:uid="{00000000-0005-0000-0000-00000A0C0000}"/>
    <cellStyle name="Entrada 7 2" xfId="3236" xr:uid="{00000000-0005-0000-0000-00000B0C0000}"/>
    <cellStyle name="Entrada 7 2 2" xfId="3237" xr:uid="{00000000-0005-0000-0000-00000C0C0000}"/>
    <cellStyle name="Entrada 7 3" xfId="3238" xr:uid="{00000000-0005-0000-0000-00000D0C0000}"/>
    <cellStyle name="Entrada 8" xfId="3239" xr:uid="{00000000-0005-0000-0000-00000E0C0000}"/>
    <cellStyle name="Entrada 8 2" xfId="3240" xr:uid="{00000000-0005-0000-0000-00000F0C0000}"/>
    <cellStyle name="Entrada 8 2 2" xfId="3241" xr:uid="{00000000-0005-0000-0000-0000100C0000}"/>
    <cellStyle name="Entrada 8 3" xfId="3242" xr:uid="{00000000-0005-0000-0000-0000110C0000}"/>
    <cellStyle name="Entrada 9" xfId="3243" xr:uid="{00000000-0005-0000-0000-0000120C0000}"/>
    <cellStyle name="Entrada 9 2" xfId="3244" xr:uid="{00000000-0005-0000-0000-0000130C0000}"/>
    <cellStyle name="Entrada 9 2 2" xfId="3245" xr:uid="{00000000-0005-0000-0000-0000140C0000}"/>
    <cellStyle name="Entrada 9 3" xfId="3246" xr:uid="{00000000-0005-0000-0000-0000150C0000}"/>
    <cellStyle name="Euro" xfId="3247" xr:uid="{00000000-0005-0000-0000-0000160C0000}"/>
    <cellStyle name="Euro 10" xfId="3248" xr:uid="{00000000-0005-0000-0000-0000170C0000}"/>
    <cellStyle name="Euro 10 2" xfId="3249" xr:uid="{00000000-0005-0000-0000-0000180C0000}"/>
    <cellStyle name="Euro 10 2 2" xfId="3250" xr:uid="{00000000-0005-0000-0000-0000190C0000}"/>
    <cellStyle name="Euro 10 3" xfId="3251" xr:uid="{00000000-0005-0000-0000-00001A0C0000}"/>
    <cellStyle name="Euro 11" xfId="3252" xr:uid="{00000000-0005-0000-0000-00001B0C0000}"/>
    <cellStyle name="Euro 11 2" xfId="3253" xr:uid="{00000000-0005-0000-0000-00001C0C0000}"/>
    <cellStyle name="Euro 11 2 2" xfId="3254" xr:uid="{00000000-0005-0000-0000-00001D0C0000}"/>
    <cellStyle name="Euro 11 3" xfId="3255" xr:uid="{00000000-0005-0000-0000-00001E0C0000}"/>
    <cellStyle name="Euro 12" xfId="3256" xr:uid="{00000000-0005-0000-0000-00001F0C0000}"/>
    <cellStyle name="Euro 12 2" xfId="3257" xr:uid="{00000000-0005-0000-0000-0000200C0000}"/>
    <cellStyle name="Euro 12 2 2" xfId="3258" xr:uid="{00000000-0005-0000-0000-0000210C0000}"/>
    <cellStyle name="Euro 12 3" xfId="3259" xr:uid="{00000000-0005-0000-0000-0000220C0000}"/>
    <cellStyle name="Euro 13" xfId="3260" xr:uid="{00000000-0005-0000-0000-0000230C0000}"/>
    <cellStyle name="Euro 13 2" xfId="3261" xr:uid="{00000000-0005-0000-0000-0000240C0000}"/>
    <cellStyle name="Euro 13 2 2" xfId="3262" xr:uid="{00000000-0005-0000-0000-0000250C0000}"/>
    <cellStyle name="Euro 13 3" xfId="3263" xr:uid="{00000000-0005-0000-0000-0000260C0000}"/>
    <cellStyle name="Euro 14" xfId="3264" xr:uid="{00000000-0005-0000-0000-0000270C0000}"/>
    <cellStyle name="Euro 14 2" xfId="3265" xr:uid="{00000000-0005-0000-0000-0000280C0000}"/>
    <cellStyle name="Euro 14 2 2" xfId="3266" xr:uid="{00000000-0005-0000-0000-0000290C0000}"/>
    <cellStyle name="Euro 14 3" xfId="3267" xr:uid="{00000000-0005-0000-0000-00002A0C0000}"/>
    <cellStyle name="Euro 15" xfId="3268" xr:uid="{00000000-0005-0000-0000-00002B0C0000}"/>
    <cellStyle name="Euro 15 2" xfId="3269" xr:uid="{00000000-0005-0000-0000-00002C0C0000}"/>
    <cellStyle name="Euro 15 2 2" xfId="3270" xr:uid="{00000000-0005-0000-0000-00002D0C0000}"/>
    <cellStyle name="Euro 15 3" xfId="3271" xr:uid="{00000000-0005-0000-0000-00002E0C0000}"/>
    <cellStyle name="Euro 16" xfId="3272" xr:uid="{00000000-0005-0000-0000-00002F0C0000}"/>
    <cellStyle name="Euro 16 2" xfId="3273" xr:uid="{00000000-0005-0000-0000-0000300C0000}"/>
    <cellStyle name="Euro 16 2 2" xfId="3274" xr:uid="{00000000-0005-0000-0000-0000310C0000}"/>
    <cellStyle name="Euro 16 3" xfId="3275" xr:uid="{00000000-0005-0000-0000-0000320C0000}"/>
    <cellStyle name="Euro 17" xfId="3276" xr:uid="{00000000-0005-0000-0000-0000330C0000}"/>
    <cellStyle name="Euro 17 2" xfId="3277" xr:uid="{00000000-0005-0000-0000-0000340C0000}"/>
    <cellStyle name="Euro 17 2 2" xfId="3278" xr:uid="{00000000-0005-0000-0000-0000350C0000}"/>
    <cellStyle name="Euro 17 3" xfId="3279" xr:uid="{00000000-0005-0000-0000-0000360C0000}"/>
    <cellStyle name="Euro 18" xfId="3280" xr:uid="{00000000-0005-0000-0000-0000370C0000}"/>
    <cellStyle name="Euro 18 2" xfId="3281" xr:uid="{00000000-0005-0000-0000-0000380C0000}"/>
    <cellStyle name="Euro 18 2 2" xfId="3282" xr:uid="{00000000-0005-0000-0000-0000390C0000}"/>
    <cellStyle name="Euro 18 3" xfId="3283" xr:uid="{00000000-0005-0000-0000-00003A0C0000}"/>
    <cellStyle name="Euro 19" xfId="3284" xr:uid="{00000000-0005-0000-0000-00003B0C0000}"/>
    <cellStyle name="Euro 19 2" xfId="3285" xr:uid="{00000000-0005-0000-0000-00003C0C0000}"/>
    <cellStyle name="Euro 19 2 2" xfId="3286" xr:uid="{00000000-0005-0000-0000-00003D0C0000}"/>
    <cellStyle name="Euro 19 3" xfId="3287" xr:uid="{00000000-0005-0000-0000-00003E0C0000}"/>
    <cellStyle name="Euro 2" xfId="3288" xr:uid="{00000000-0005-0000-0000-00003F0C0000}"/>
    <cellStyle name="Euro 2 2" xfId="3289" xr:uid="{00000000-0005-0000-0000-0000400C0000}"/>
    <cellStyle name="Euro 20" xfId="3290" xr:uid="{00000000-0005-0000-0000-0000410C0000}"/>
    <cellStyle name="Euro 20 2" xfId="3291" xr:uid="{00000000-0005-0000-0000-0000420C0000}"/>
    <cellStyle name="Euro 20 2 2" xfId="3292" xr:uid="{00000000-0005-0000-0000-0000430C0000}"/>
    <cellStyle name="Euro 20 3" xfId="3293" xr:uid="{00000000-0005-0000-0000-0000440C0000}"/>
    <cellStyle name="Euro 21" xfId="3294" xr:uid="{00000000-0005-0000-0000-0000450C0000}"/>
    <cellStyle name="Euro 21 2" xfId="3295" xr:uid="{00000000-0005-0000-0000-0000460C0000}"/>
    <cellStyle name="Euro 21 2 2" xfId="3296" xr:uid="{00000000-0005-0000-0000-0000470C0000}"/>
    <cellStyle name="Euro 21 3" xfId="3297" xr:uid="{00000000-0005-0000-0000-0000480C0000}"/>
    <cellStyle name="Euro 22" xfId="3298" xr:uid="{00000000-0005-0000-0000-0000490C0000}"/>
    <cellStyle name="Euro 22 2" xfId="3299" xr:uid="{00000000-0005-0000-0000-00004A0C0000}"/>
    <cellStyle name="Euro 22 2 2" xfId="3300" xr:uid="{00000000-0005-0000-0000-00004B0C0000}"/>
    <cellStyle name="Euro 22 3" xfId="3301" xr:uid="{00000000-0005-0000-0000-00004C0C0000}"/>
    <cellStyle name="Euro 23" xfId="3302" xr:uid="{00000000-0005-0000-0000-00004D0C0000}"/>
    <cellStyle name="Euro 23 2" xfId="3303" xr:uid="{00000000-0005-0000-0000-00004E0C0000}"/>
    <cellStyle name="Euro 23 2 2" xfId="3304" xr:uid="{00000000-0005-0000-0000-00004F0C0000}"/>
    <cellStyle name="Euro 23 3" xfId="3305" xr:uid="{00000000-0005-0000-0000-0000500C0000}"/>
    <cellStyle name="Euro 24" xfId="3306" xr:uid="{00000000-0005-0000-0000-0000510C0000}"/>
    <cellStyle name="Euro 24 2" xfId="3307" xr:uid="{00000000-0005-0000-0000-0000520C0000}"/>
    <cellStyle name="Euro 24 2 2" xfId="3308" xr:uid="{00000000-0005-0000-0000-0000530C0000}"/>
    <cellStyle name="Euro 24 3" xfId="3309" xr:uid="{00000000-0005-0000-0000-0000540C0000}"/>
    <cellStyle name="Euro 25" xfId="3310" xr:uid="{00000000-0005-0000-0000-0000550C0000}"/>
    <cellStyle name="Euro 25 2" xfId="3311" xr:uid="{00000000-0005-0000-0000-0000560C0000}"/>
    <cellStyle name="Euro 25 2 2" xfId="3312" xr:uid="{00000000-0005-0000-0000-0000570C0000}"/>
    <cellStyle name="Euro 25 3" xfId="3313" xr:uid="{00000000-0005-0000-0000-0000580C0000}"/>
    <cellStyle name="Euro 26" xfId="3314" xr:uid="{00000000-0005-0000-0000-0000590C0000}"/>
    <cellStyle name="Euro 26 2" xfId="3315" xr:uid="{00000000-0005-0000-0000-00005A0C0000}"/>
    <cellStyle name="Euro 26 2 2" xfId="3316" xr:uid="{00000000-0005-0000-0000-00005B0C0000}"/>
    <cellStyle name="Euro 26 3" xfId="3317" xr:uid="{00000000-0005-0000-0000-00005C0C0000}"/>
    <cellStyle name="Euro 27" xfId="3318" xr:uid="{00000000-0005-0000-0000-00005D0C0000}"/>
    <cellStyle name="Euro 27 2" xfId="3319" xr:uid="{00000000-0005-0000-0000-00005E0C0000}"/>
    <cellStyle name="Euro 27 2 2" xfId="3320" xr:uid="{00000000-0005-0000-0000-00005F0C0000}"/>
    <cellStyle name="Euro 27 3" xfId="3321" xr:uid="{00000000-0005-0000-0000-0000600C0000}"/>
    <cellStyle name="Euro 28" xfId="3322" xr:uid="{00000000-0005-0000-0000-0000610C0000}"/>
    <cellStyle name="Euro 28 2" xfId="3323" xr:uid="{00000000-0005-0000-0000-0000620C0000}"/>
    <cellStyle name="Euro 28 2 2" xfId="3324" xr:uid="{00000000-0005-0000-0000-0000630C0000}"/>
    <cellStyle name="Euro 28 3" xfId="3325" xr:uid="{00000000-0005-0000-0000-0000640C0000}"/>
    <cellStyle name="Euro 29" xfId="3326" xr:uid="{00000000-0005-0000-0000-0000650C0000}"/>
    <cellStyle name="Euro 29 2" xfId="3327" xr:uid="{00000000-0005-0000-0000-0000660C0000}"/>
    <cellStyle name="Euro 29 2 2" xfId="3328" xr:uid="{00000000-0005-0000-0000-0000670C0000}"/>
    <cellStyle name="Euro 29 3" xfId="3329" xr:uid="{00000000-0005-0000-0000-0000680C0000}"/>
    <cellStyle name="Euro 3" xfId="3330" xr:uid="{00000000-0005-0000-0000-0000690C0000}"/>
    <cellStyle name="Euro 3 2" xfId="3331" xr:uid="{00000000-0005-0000-0000-00006A0C0000}"/>
    <cellStyle name="Euro 30" xfId="3332" xr:uid="{00000000-0005-0000-0000-00006B0C0000}"/>
    <cellStyle name="Euro 30 2" xfId="3333" xr:uid="{00000000-0005-0000-0000-00006C0C0000}"/>
    <cellStyle name="Euro 30 2 2" xfId="3334" xr:uid="{00000000-0005-0000-0000-00006D0C0000}"/>
    <cellStyle name="Euro 30 3" xfId="3335" xr:uid="{00000000-0005-0000-0000-00006E0C0000}"/>
    <cellStyle name="Euro 31" xfId="3336" xr:uid="{00000000-0005-0000-0000-00006F0C0000}"/>
    <cellStyle name="Euro 31 2" xfId="3337" xr:uid="{00000000-0005-0000-0000-0000700C0000}"/>
    <cellStyle name="Euro 31 2 2" xfId="3338" xr:uid="{00000000-0005-0000-0000-0000710C0000}"/>
    <cellStyle name="Euro 31 3" xfId="3339" xr:uid="{00000000-0005-0000-0000-0000720C0000}"/>
    <cellStyle name="Euro 32" xfId="3340" xr:uid="{00000000-0005-0000-0000-0000730C0000}"/>
    <cellStyle name="Euro 32 2" xfId="3341" xr:uid="{00000000-0005-0000-0000-0000740C0000}"/>
    <cellStyle name="Euro 32 2 2" xfId="3342" xr:uid="{00000000-0005-0000-0000-0000750C0000}"/>
    <cellStyle name="Euro 32 3" xfId="3343" xr:uid="{00000000-0005-0000-0000-0000760C0000}"/>
    <cellStyle name="Euro 33" xfId="3344" xr:uid="{00000000-0005-0000-0000-0000770C0000}"/>
    <cellStyle name="Euro 33 2" xfId="3345" xr:uid="{00000000-0005-0000-0000-0000780C0000}"/>
    <cellStyle name="Euro 33 2 2" xfId="3346" xr:uid="{00000000-0005-0000-0000-0000790C0000}"/>
    <cellStyle name="Euro 33 3" xfId="3347" xr:uid="{00000000-0005-0000-0000-00007A0C0000}"/>
    <cellStyle name="Euro 34" xfId="3348" xr:uid="{00000000-0005-0000-0000-00007B0C0000}"/>
    <cellStyle name="Euro 34 2" xfId="3349" xr:uid="{00000000-0005-0000-0000-00007C0C0000}"/>
    <cellStyle name="Euro 34 2 2" xfId="3350" xr:uid="{00000000-0005-0000-0000-00007D0C0000}"/>
    <cellStyle name="Euro 34 3" xfId="3351" xr:uid="{00000000-0005-0000-0000-00007E0C0000}"/>
    <cellStyle name="Euro 35" xfId="3352" xr:uid="{00000000-0005-0000-0000-00007F0C0000}"/>
    <cellStyle name="Euro 35 2" xfId="3353" xr:uid="{00000000-0005-0000-0000-0000800C0000}"/>
    <cellStyle name="Euro 35 2 2" xfId="3354" xr:uid="{00000000-0005-0000-0000-0000810C0000}"/>
    <cellStyle name="Euro 35 3" xfId="3355" xr:uid="{00000000-0005-0000-0000-0000820C0000}"/>
    <cellStyle name="Euro 36" xfId="3356" xr:uid="{00000000-0005-0000-0000-0000830C0000}"/>
    <cellStyle name="Euro 36 2" xfId="3357" xr:uid="{00000000-0005-0000-0000-0000840C0000}"/>
    <cellStyle name="Euro 36 2 2" xfId="3358" xr:uid="{00000000-0005-0000-0000-0000850C0000}"/>
    <cellStyle name="Euro 36 3" xfId="3359" xr:uid="{00000000-0005-0000-0000-0000860C0000}"/>
    <cellStyle name="Euro 37" xfId="3360" xr:uid="{00000000-0005-0000-0000-0000870C0000}"/>
    <cellStyle name="Euro 37 2" xfId="3361" xr:uid="{00000000-0005-0000-0000-0000880C0000}"/>
    <cellStyle name="Euro 37 2 2" xfId="3362" xr:uid="{00000000-0005-0000-0000-0000890C0000}"/>
    <cellStyle name="Euro 37 3" xfId="3363" xr:uid="{00000000-0005-0000-0000-00008A0C0000}"/>
    <cellStyle name="Euro 38" xfId="3364" xr:uid="{00000000-0005-0000-0000-00008B0C0000}"/>
    <cellStyle name="Euro 38 2" xfId="3365" xr:uid="{00000000-0005-0000-0000-00008C0C0000}"/>
    <cellStyle name="Euro 38 2 2" xfId="3366" xr:uid="{00000000-0005-0000-0000-00008D0C0000}"/>
    <cellStyle name="Euro 38 3" xfId="3367" xr:uid="{00000000-0005-0000-0000-00008E0C0000}"/>
    <cellStyle name="Euro 39" xfId="3368" xr:uid="{00000000-0005-0000-0000-00008F0C0000}"/>
    <cellStyle name="Euro 39 2" xfId="3369" xr:uid="{00000000-0005-0000-0000-0000900C0000}"/>
    <cellStyle name="Euro 39 2 2" xfId="3370" xr:uid="{00000000-0005-0000-0000-0000910C0000}"/>
    <cellStyle name="Euro 39 3" xfId="3371" xr:uid="{00000000-0005-0000-0000-0000920C0000}"/>
    <cellStyle name="Euro 4" xfId="3372" xr:uid="{00000000-0005-0000-0000-0000930C0000}"/>
    <cellStyle name="Euro 4 2" xfId="3373" xr:uid="{00000000-0005-0000-0000-0000940C0000}"/>
    <cellStyle name="Euro 40" xfId="3374" xr:uid="{00000000-0005-0000-0000-0000950C0000}"/>
    <cellStyle name="Euro 40 2" xfId="3375" xr:uid="{00000000-0005-0000-0000-0000960C0000}"/>
    <cellStyle name="Euro 40 2 2" xfId="3376" xr:uid="{00000000-0005-0000-0000-0000970C0000}"/>
    <cellStyle name="Euro 40 3" xfId="3377" xr:uid="{00000000-0005-0000-0000-0000980C0000}"/>
    <cellStyle name="Euro 41" xfId="3378" xr:uid="{00000000-0005-0000-0000-0000990C0000}"/>
    <cellStyle name="Euro 41 2" xfId="3379" xr:uid="{00000000-0005-0000-0000-00009A0C0000}"/>
    <cellStyle name="Euro 41 2 2" xfId="3380" xr:uid="{00000000-0005-0000-0000-00009B0C0000}"/>
    <cellStyle name="Euro 41 3" xfId="3381" xr:uid="{00000000-0005-0000-0000-00009C0C0000}"/>
    <cellStyle name="Euro 42" xfId="3382" xr:uid="{00000000-0005-0000-0000-00009D0C0000}"/>
    <cellStyle name="Euro 42 2" xfId="3383" xr:uid="{00000000-0005-0000-0000-00009E0C0000}"/>
    <cellStyle name="Euro 42 2 2" xfId="3384" xr:uid="{00000000-0005-0000-0000-00009F0C0000}"/>
    <cellStyle name="Euro 42 3" xfId="3385" xr:uid="{00000000-0005-0000-0000-0000A00C0000}"/>
    <cellStyle name="Euro 43" xfId="3386" xr:uid="{00000000-0005-0000-0000-0000A10C0000}"/>
    <cellStyle name="Euro 43 2" xfId="3387" xr:uid="{00000000-0005-0000-0000-0000A20C0000}"/>
    <cellStyle name="Euro 43 2 2" xfId="3388" xr:uid="{00000000-0005-0000-0000-0000A30C0000}"/>
    <cellStyle name="Euro 43 3" xfId="3389" xr:uid="{00000000-0005-0000-0000-0000A40C0000}"/>
    <cellStyle name="Euro 44" xfId="3390" xr:uid="{00000000-0005-0000-0000-0000A50C0000}"/>
    <cellStyle name="Euro 44 2" xfId="3391" xr:uid="{00000000-0005-0000-0000-0000A60C0000}"/>
    <cellStyle name="Euro 44 2 2" xfId="3392" xr:uid="{00000000-0005-0000-0000-0000A70C0000}"/>
    <cellStyle name="Euro 44 3" xfId="3393" xr:uid="{00000000-0005-0000-0000-0000A80C0000}"/>
    <cellStyle name="Euro 45" xfId="3394" xr:uid="{00000000-0005-0000-0000-0000A90C0000}"/>
    <cellStyle name="Euro 45 2" xfId="3395" xr:uid="{00000000-0005-0000-0000-0000AA0C0000}"/>
    <cellStyle name="Euro 45 2 2" xfId="3396" xr:uid="{00000000-0005-0000-0000-0000AB0C0000}"/>
    <cellStyle name="Euro 45 3" xfId="3397" xr:uid="{00000000-0005-0000-0000-0000AC0C0000}"/>
    <cellStyle name="Euro 46" xfId="3398" xr:uid="{00000000-0005-0000-0000-0000AD0C0000}"/>
    <cellStyle name="Euro 46 2" xfId="3399" xr:uid="{00000000-0005-0000-0000-0000AE0C0000}"/>
    <cellStyle name="Euro 47" xfId="3400" xr:uid="{00000000-0005-0000-0000-0000AF0C0000}"/>
    <cellStyle name="Euro 5" xfId="3401" xr:uid="{00000000-0005-0000-0000-0000B00C0000}"/>
    <cellStyle name="Euro 5 2" xfId="3402" xr:uid="{00000000-0005-0000-0000-0000B10C0000}"/>
    <cellStyle name="Euro 6" xfId="3403" xr:uid="{00000000-0005-0000-0000-0000B20C0000}"/>
    <cellStyle name="Euro 6 2" xfId="3404" xr:uid="{00000000-0005-0000-0000-0000B30C0000}"/>
    <cellStyle name="Euro 7" xfId="3405" xr:uid="{00000000-0005-0000-0000-0000B40C0000}"/>
    <cellStyle name="Euro 7 2" xfId="3406" xr:uid="{00000000-0005-0000-0000-0000B50C0000}"/>
    <cellStyle name="Euro 8" xfId="3407" xr:uid="{00000000-0005-0000-0000-0000B60C0000}"/>
    <cellStyle name="Euro 8 2" xfId="3408" xr:uid="{00000000-0005-0000-0000-0000B70C0000}"/>
    <cellStyle name="Euro 9" xfId="3409" xr:uid="{00000000-0005-0000-0000-0000B80C0000}"/>
    <cellStyle name="Euro 9 2" xfId="3410" xr:uid="{00000000-0005-0000-0000-0000B90C0000}"/>
    <cellStyle name="Excel Built-in Normal" xfId="3411" xr:uid="{00000000-0005-0000-0000-0000BA0C0000}"/>
    <cellStyle name="Excel Built-in Normal 1" xfId="3412" xr:uid="{00000000-0005-0000-0000-0000BB0C0000}"/>
    <cellStyle name="Excel Built-in Normal 1 2" xfId="3413" xr:uid="{00000000-0005-0000-0000-0000BC0C0000}"/>
    <cellStyle name="Excel Built-in Normal 2" xfId="3414" xr:uid="{00000000-0005-0000-0000-0000BD0C0000}"/>
    <cellStyle name="Explanatory Text" xfId="73" xr:uid="{00000000-0005-0000-0000-0000BE0C0000}"/>
    <cellStyle name="Gameleira" xfId="74" xr:uid="{00000000-0005-0000-0000-0000BF0C0000}"/>
    <cellStyle name="Good" xfId="75" xr:uid="{00000000-0005-0000-0000-0000C00C0000}"/>
    <cellStyle name="Heading 1" xfId="76" xr:uid="{00000000-0005-0000-0000-0000C10C0000}"/>
    <cellStyle name="Heading 2" xfId="77" xr:uid="{00000000-0005-0000-0000-0000C20C0000}"/>
    <cellStyle name="Heading 3" xfId="78" xr:uid="{00000000-0005-0000-0000-0000C30C0000}"/>
    <cellStyle name="Heading 4" xfId="79" xr:uid="{00000000-0005-0000-0000-0000C40C0000}"/>
    <cellStyle name="Incorreto 10" xfId="3415" xr:uid="{00000000-0005-0000-0000-0000C50C0000}"/>
    <cellStyle name="Incorreto 10 2" xfId="3416" xr:uid="{00000000-0005-0000-0000-0000C60C0000}"/>
    <cellStyle name="Incorreto 10 2 2" xfId="3417" xr:uid="{00000000-0005-0000-0000-0000C70C0000}"/>
    <cellStyle name="Incorreto 10 3" xfId="3418" xr:uid="{00000000-0005-0000-0000-0000C80C0000}"/>
    <cellStyle name="Incorreto 11" xfId="3419" xr:uid="{00000000-0005-0000-0000-0000C90C0000}"/>
    <cellStyle name="Incorreto 11 2" xfId="3420" xr:uid="{00000000-0005-0000-0000-0000CA0C0000}"/>
    <cellStyle name="Incorreto 11 2 2" xfId="3421" xr:uid="{00000000-0005-0000-0000-0000CB0C0000}"/>
    <cellStyle name="Incorreto 11 3" xfId="3422" xr:uid="{00000000-0005-0000-0000-0000CC0C0000}"/>
    <cellStyle name="Incorreto 12" xfId="3423" xr:uid="{00000000-0005-0000-0000-0000CD0C0000}"/>
    <cellStyle name="Incorreto 12 2" xfId="3424" xr:uid="{00000000-0005-0000-0000-0000CE0C0000}"/>
    <cellStyle name="Incorreto 12 2 2" xfId="3425" xr:uid="{00000000-0005-0000-0000-0000CF0C0000}"/>
    <cellStyle name="Incorreto 12 3" xfId="3426" xr:uid="{00000000-0005-0000-0000-0000D00C0000}"/>
    <cellStyle name="Incorreto 13" xfId="3427" xr:uid="{00000000-0005-0000-0000-0000D10C0000}"/>
    <cellStyle name="Incorreto 13 2" xfId="3428" xr:uid="{00000000-0005-0000-0000-0000D20C0000}"/>
    <cellStyle name="Incorreto 13 2 2" xfId="3429" xr:uid="{00000000-0005-0000-0000-0000D30C0000}"/>
    <cellStyle name="Incorreto 13 3" xfId="3430" xr:uid="{00000000-0005-0000-0000-0000D40C0000}"/>
    <cellStyle name="Incorreto 14" xfId="3431" xr:uid="{00000000-0005-0000-0000-0000D50C0000}"/>
    <cellStyle name="Incorreto 14 2" xfId="3432" xr:uid="{00000000-0005-0000-0000-0000D60C0000}"/>
    <cellStyle name="Incorreto 14 2 2" xfId="3433" xr:uid="{00000000-0005-0000-0000-0000D70C0000}"/>
    <cellStyle name="Incorreto 14 3" xfId="3434" xr:uid="{00000000-0005-0000-0000-0000D80C0000}"/>
    <cellStyle name="Incorreto 15" xfId="3435" xr:uid="{00000000-0005-0000-0000-0000D90C0000}"/>
    <cellStyle name="Incorreto 15 2" xfId="3436" xr:uid="{00000000-0005-0000-0000-0000DA0C0000}"/>
    <cellStyle name="Incorreto 15 2 2" xfId="3437" xr:uid="{00000000-0005-0000-0000-0000DB0C0000}"/>
    <cellStyle name="Incorreto 15 3" xfId="3438" xr:uid="{00000000-0005-0000-0000-0000DC0C0000}"/>
    <cellStyle name="Incorreto 16" xfId="3439" xr:uid="{00000000-0005-0000-0000-0000DD0C0000}"/>
    <cellStyle name="Incorreto 16 2" xfId="3440" xr:uid="{00000000-0005-0000-0000-0000DE0C0000}"/>
    <cellStyle name="Incorreto 16 2 2" xfId="3441" xr:uid="{00000000-0005-0000-0000-0000DF0C0000}"/>
    <cellStyle name="Incorreto 16 3" xfId="3442" xr:uid="{00000000-0005-0000-0000-0000E00C0000}"/>
    <cellStyle name="Incorreto 17" xfId="3443" xr:uid="{00000000-0005-0000-0000-0000E10C0000}"/>
    <cellStyle name="Incorreto 17 2" xfId="3444" xr:uid="{00000000-0005-0000-0000-0000E20C0000}"/>
    <cellStyle name="Incorreto 17 2 2" xfId="3445" xr:uid="{00000000-0005-0000-0000-0000E30C0000}"/>
    <cellStyle name="Incorreto 17 3" xfId="3446" xr:uid="{00000000-0005-0000-0000-0000E40C0000}"/>
    <cellStyle name="Incorreto 18" xfId="3447" xr:uid="{00000000-0005-0000-0000-0000E50C0000}"/>
    <cellStyle name="Incorreto 18 2" xfId="3448" xr:uid="{00000000-0005-0000-0000-0000E60C0000}"/>
    <cellStyle name="Incorreto 18 2 2" xfId="3449" xr:uid="{00000000-0005-0000-0000-0000E70C0000}"/>
    <cellStyle name="Incorreto 18 3" xfId="3450" xr:uid="{00000000-0005-0000-0000-0000E80C0000}"/>
    <cellStyle name="Incorreto 19" xfId="3451" xr:uid="{00000000-0005-0000-0000-0000E90C0000}"/>
    <cellStyle name="Incorreto 19 2" xfId="3452" xr:uid="{00000000-0005-0000-0000-0000EA0C0000}"/>
    <cellStyle name="Incorreto 19 2 2" xfId="3453" xr:uid="{00000000-0005-0000-0000-0000EB0C0000}"/>
    <cellStyle name="Incorreto 19 3" xfId="3454" xr:uid="{00000000-0005-0000-0000-0000EC0C0000}"/>
    <cellStyle name="Incorreto 2" xfId="3455" xr:uid="{00000000-0005-0000-0000-0000ED0C0000}"/>
    <cellStyle name="Incorreto 2 2" xfId="3456" xr:uid="{00000000-0005-0000-0000-0000EE0C0000}"/>
    <cellStyle name="Incorreto 2 2 2" xfId="3457" xr:uid="{00000000-0005-0000-0000-0000EF0C0000}"/>
    <cellStyle name="Incorreto 2 2 2 2" xfId="3458" xr:uid="{00000000-0005-0000-0000-0000F00C0000}"/>
    <cellStyle name="Incorreto 2 2 3" xfId="3459" xr:uid="{00000000-0005-0000-0000-0000F10C0000}"/>
    <cellStyle name="Incorreto 2 3" xfId="3460" xr:uid="{00000000-0005-0000-0000-0000F20C0000}"/>
    <cellStyle name="Incorreto 20" xfId="3461" xr:uid="{00000000-0005-0000-0000-0000F30C0000}"/>
    <cellStyle name="Incorreto 20 2" xfId="3462" xr:uid="{00000000-0005-0000-0000-0000F40C0000}"/>
    <cellStyle name="Incorreto 20 2 2" xfId="3463" xr:uid="{00000000-0005-0000-0000-0000F50C0000}"/>
    <cellStyle name="Incorreto 20 3" xfId="3464" xr:uid="{00000000-0005-0000-0000-0000F60C0000}"/>
    <cellStyle name="Incorreto 21" xfId="3465" xr:uid="{00000000-0005-0000-0000-0000F70C0000}"/>
    <cellStyle name="Incorreto 21 2" xfId="3466" xr:uid="{00000000-0005-0000-0000-0000F80C0000}"/>
    <cellStyle name="Incorreto 21 2 2" xfId="3467" xr:uid="{00000000-0005-0000-0000-0000F90C0000}"/>
    <cellStyle name="Incorreto 21 3" xfId="3468" xr:uid="{00000000-0005-0000-0000-0000FA0C0000}"/>
    <cellStyle name="Incorreto 22" xfId="3469" xr:uid="{00000000-0005-0000-0000-0000FB0C0000}"/>
    <cellStyle name="Incorreto 22 2" xfId="3470" xr:uid="{00000000-0005-0000-0000-0000FC0C0000}"/>
    <cellStyle name="Incorreto 22 2 2" xfId="3471" xr:uid="{00000000-0005-0000-0000-0000FD0C0000}"/>
    <cellStyle name="Incorreto 22 3" xfId="3472" xr:uid="{00000000-0005-0000-0000-0000FE0C0000}"/>
    <cellStyle name="Incorreto 23" xfId="3473" xr:uid="{00000000-0005-0000-0000-0000FF0C0000}"/>
    <cellStyle name="Incorreto 23 2" xfId="3474" xr:uid="{00000000-0005-0000-0000-0000000D0000}"/>
    <cellStyle name="Incorreto 23 2 2" xfId="3475" xr:uid="{00000000-0005-0000-0000-0000010D0000}"/>
    <cellStyle name="Incorreto 23 3" xfId="3476" xr:uid="{00000000-0005-0000-0000-0000020D0000}"/>
    <cellStyle name="Incorreto 24" xfId="3477" xr:uid="{00000000-0005-0000-0000-0000030D0000}"/>
    <cellStyle name="Incorreto 24 2" xfId="3478" xr:uid="{00000000-0005-0000-0000-0000040D0000}"/>
    <cellStyle name="Incorreto 24 2 2" xfId="3479" xr:uid="{00000000-0005-0000-0000-0000050D0000}"/>
    <cellStyle name="Incorreto 24 3" xfId="3480" xr:uid="{00000000-0005-0000-0000-0000060D0000}"/>
    <cellStyle name="Incorreto 25" xfId="3481" xr:uid="{00000000-0005-0000-0000-0000070D0000}"/>
    <cellStyle name="Incorreto 25 2" xfId="3482" xr:uid="{00000000-0005-0000-0000-0000080D0000}"/>
    <cellStyle name="Incorreto 25 2 2" xfId="3483" xr:uid="{00000000-0005-0000-0000-0000090D0000}"/>
    <cellStyle name="Incorreto 25 3" xfId="3484" xr:uid="{00000000-0005-0000-0000-00000A0D0000}"/>
    <cellStyle name="Incorreto 26" xfId="3485" xr:uid="{00000000-0005-0000-0000-00000B0D0000}"/>
    <cellStyle name="Incorreto 26 2" xfId="3486" xr:uid="{00000000-0005-0000-0000-00000C0D0000}"/>
    <cellStyle name="Incorreto 26 2 2" xfId="3487" xr:uid="{00000000-0005-0000-0000-00000D0D0000}"/>
    <cellStyle name="Incorreto 26 3" xfId="3488" xr:uid="{00000000-0005-0000-0000-00000E0D0000}"/>
    <cellStyle name="Incorreto 27" xfId="3489" xr:uid="{00000000-0005-0000-0000-00000F0D0000}"/>
    <cellStyle name="Incorreto 27 2" xfId="3490" xr:uid="{00000000-0005-0000-0000-0000100D0000}"/>
    <cellStyle name="Incorreto 27 2 2" xfId="3491" xr:uid="{00000000-0005-0000-0000-0000110D0000}"/>
    <cellStyle name="Incorreto 27 3" xfId="3492" xr:uid="{00000000-0005-0000-0000-0000120D0000}"/>
    <cellStyle name="Incorreto 28" xfId="3493" xr:uid="{00000000-0005-0000-0000-0000130D0000}"/>
    <cellStyle name="Incorreto 28 2" xfId="3494" xr:uid="{00000000-0005-0000-0000-0000140D0000}"/>
    <cellStyle name="Incorreto 28 2 2" xfId="3495" xr:uid="{00000000-0005-0000-0000-0000150D0000}"/>
    <cellStyle name="Incorreto 28 3" xfId="3496" xr:uid="{00000000-0005-0000-0000-0000160D0000}"/>
    <cellStyle name="Incorreto 29" xfId="3497" xr:uid="{00000000-0005-0000-0000-0000170D0000}"/>
    <cellStyle name="Incorreto 29 2" xfId="3498" xr:uid="{00000000-0005-0000-0000-0000180D0000}"/>
    <cellStyle name="Incorreto 29 2 2" xfId="3499" xr:uid="{00000000-0005-0000-0000-0000190D0000}"/>
    <cellStyle name="Incorreto 29 3" xfId="3500" xr:uid="{00000000-0005-0000-0000-00001A0D0000}"/>
    <cellStyle name="Incorreto 3" xfId="3501" xr:uid="{00000000-0005-0000-0000-00001B0D0000}"/>
    <cellStyle name="Incorreto 3 2" xfId="3502" xr:uid="{00000000-0005-0000-0000-00001C0D0000}"/>
    <cellStyle name="Incorreto 3 2 2" xfId="3503" xr:uid="{00000000-0005-0000-0000-00001D0D0000}"/>
    <cellStyle name="Incorreto 3 3" xfId="3504" xr:uid="{00000000-0005-0000-0000-00001E0D0000}"/>
    <cellStyle name="Incorreto 30" xfId="3505" xr:uid="{00000000-0005-0000-0000-00001F0D0000}"/>
    <cellStyle name="Incorreto 30 2" xfId="3506" xr:uid="{00000000-0005-0000-0000-0000200D0000}"/>
    <cellStyle name="Incorreto 30 2 2" xfId="3507" xr:uid="{00000000-0005-0000-0000-0000210D0000}"/>
    <cellStyle name="Incorreto 30 3" xfId="3508" xr:uid="{00000000-0005-0000-0000-0000220D0000}"/>
    <cellStyle name="Incorreto 31" xfId="3509" xr:uid="{00000000-0005-0000-0000-0000230D0000}"/>
    <cellStyle name="Incorreto 31 2" xfId="3510" xr:uid="{00000000-0005-0000-0000-0000240D0000}"/>
    <cellStyle name="Incorreto 31 2 2" xfId="3511" xr:uid="{00000000-0005-0000-0000-0000250D0000}"/>
    <cellStyle name="Incorreto 31 3" xfId="3512" xr:uid="{00000000-0005-0000-0000-0000260D0000}"/>
    <cellStyle name="Incorreto 32" xfId="3513" xr:uid="{00000000-0005-0000-0000-0000270D0000}"/>
    <cellStyle name="Incorreto 32 2" xfId="3514" xr:uid="{00000000-0005-0000-0000-0000280D0000}"/>
    <cellStyle name="Incorreto 32 2 2" xfId="3515" xr:uid="{00000000-0005-0000-0000-0000290D0000}"/>
    <cellStyle name="Incorreto 32 3" xfId="3516" xr:uid="{00000000-0005-0000-0000-00002A0D0000}"/>
    <cellStyle name="Incorreto 33" xfId="3517" xr:uid="{00000000-0005-0000-0000-00002B0D0000}"/>
    <cellStyle name="Incorreto 33 2" xfId="3518" xr:uid="{00000000-0005-0000-0000-00002C0D0000}"/>
    <cellStyle name="Incorreto 33 2 2" xfId="3519" xr:uid="{00000000-0005-0000-0000-00002D0D0000}"/>
    <cellStyle name="Incorreto 33 3" xfId="3520" xr:uid="{00000000-0005-0000-0000-00002E0D0000}"/>
    <cellStyle name="Incorreto 34" xfId="3521" xr:uid="{00000000-0005-0000-0000-00002F0D0000}"/>
    <cellStyle name="Incorreto 34 2" xfId="3522" xr:uid="{00000000-0005-0000-0000-0000300D0000}"/>
    <cellStyle name="Incorreto 34 2 2" xfId="3523" xr:uid="{00000000-0005-0000-0000-0000310D0000}"/>
    <cellStyle name="Incorreto 34 3" xfId="3524" xr:uid="{00000000-0005-0000-0000-0000320D0000}"/>
    <cellStyle name="Incorreto 35" xfId="3525" xr:uid="{00000000-0005-0000-0000-0000330D0000}"/>
    <cellStyle name="Incorreto 35 2" xfId="3526" xr:uid="{00000000-0005-0000-0000-0000340D0000}"/>
    <cellStyle name="Incorreto 35 2 2" xfId="3527" xr:uid="{00000000-0005-0000-0000-0000350D0000}"/>
    <cellStyle name="Incorreto 35 3" xfId="3528" xr:uid="{00000000-0005-0000-0000-0000360D0000}"/>
    <cellStyle name="Incorreto 36" xfId="3529" xr:uid="{00000000-0005-0000-0000-0000370D0000}"/>
    <cellStyle name="Incorreto 36 2" xfId="3530" xr:uid="{00000000-0005-0000-0000-0000380D0000}"/>
    <cellStyle name="Incorreto 36 2 2" xfId="3531" xr:uid="{00000000-0005-0000-0000-0000390D0000}"/>
    <cellStyle name="Incorreto 36 3" xfId="3532" xr:uid="{00000000-0005-0000-0000-00003A0D0000}"/>
    <cellStyle name="Incorreto 37" xfId="3533" xr:uid="{00000000-0005-0000-0000-00003B0D0000}"/>
    <cellStyle name="Incorreto 37 2" xfId="3534" xr:uid="{00000000-0005-0000-0000-00003C0D0000}"/>
    <cellStyle name="Incorreto 37 2 2" xfId="3535" xr:uid="{00000000-0005-0000-0000-00003D0D0000}"/>
    <cellStyle name="Incorreto 37 3" xfId="3536" xr:uid="{00000000-0005-0000-0000-00003E0D0000}"/>
    <cellStyle name="Incorreto 4" xfId="3537" xr:uid="{00000000-0005-0000-0000-00003F0D0000}"/>
    <cellStyle name="Incorreto 4 2" xfId="3538" xr:uid="{00000000-0005-0000-0000-0000400D0000}"/>
    <cellStyle name="Incorreto 4 2 2" xfId="3539" xr:uid="{00000000-0005-0000-0000-0000410D0000}"/>
    <cellStyle name="Incorreto 4 3" xfId="3540" xr:uid="{00000000-0005-0000-0000-0000420D0000}"/>
    <cellStyle name="Incorreto 5" xfId="3541" xr:uid="{00000000-0005-0000-0000-0000430D0000}"/>
    <cellStyle name="Incorreto 5 2" xfId="3542" xr:uid="{00000000-0005-0000-0000-0000440D0000}"/>
    <cellStyle name="Incorreto 5 2 2" xfId="3543" xr:uid="{00000000-0005-0000-0000-0000450D0000}"/>
    <cellStyle name="Incorreto 5 3" xfId="3544" xr:uid="{00000000-0005-0000-0000-0000460D0000}"/>
    <cellStyle name="Incorreto 6" xfId="3545" xr:uid="{00000000-0005-0000-0000-0000470D0000}"/>
    <cellStyle name="Incorreto 6 2" xfId="3546" xr:uid="{00000000-0005-0000-0000-0000480D0000}"/>
    <cellStyle name="Incorreto 6 2 2" xfId="3547" xr:uid="{00000000-0005-0000-0000-0000490D0000}"/>
    <cellStyle name="Incorreto 6 3" xfId="3548" xr:uid="{00000000-0005-0000-0000-00004A0D0000}"/>
    <cellStyle name="Incorreto 7" xfId="3549" xr:uid="{00000000-0005-0000-0000-00004B0D0000}"/>
    <cellStyle name="Incorreto 7 2" xfId="3550" xr:uid="{00000000-0005-0000-0000-00004C0D0000}"/>
    <cellStyle name="Incorreto 7 2 2" xfId="3551" xr:uid="{00000000-0005-0000-0000-00004D0D0000}"/>
    <cellStyle name="Incorreto 7 3" xfId="3552" xr:uid="{00000000-0005-0000-0000-00004E0D0000}"/>
    <cellStyle name="Incorreto 8" xfId="3553" xr:uid="{00000000-0005-0000-0000-00004F0D0000}"/>
    <cellStyle name="Incorreto 8 2" xfId="3554" xr:uid="{00000000-0005-0000-0000-0000500D0000}"/>
    <cellStyle name="Incorreto 8 2 2" xfId="3555" xr:uid="{00000000-0005-0000-0000-0000510D0000}"/>
    <cellStyle name="Incorreto 8 3" xfId="3556" xr:uid="{00000000-0005-0000-0000-0000520D0000}"/>
    <cellStyle name="Incorreto 9" xfId="3557" xr:uid="{00000000-0005-0000-0000-0000530D0000}"/>
    <cellStyle name="Incorreto 9 2" xfId="3558" xr:uid="{00000000-0005-0000-0000-0000540D0000}"/>
    <cellStyle name="Incorreto 9 2 2" xfId="3559" xr:uid="{00000000-0005-0000-0000-0000550D0000}"/>
    <cellStyle name="Incorreto 9 3" xfId="3560" xr:uid="{00000000-0005-0000-0000-0000560D0000}"/>
    <cellStyle name="Indefinido" xfId="3" xr:uid="{00000000-0005-0000-0000-0000570D0000}"/>
    <cellStyle name="Input" xfId="80" xr:uid="{00000000-0005-0000-0000-0000580D0000}"/>
    <cellStyle name="Linked Cell" xfId="81" xr:uid="{00000000-0005-0000-0000-0000590D0000}"/>
    <cellStyle name="material" xfId="4" xr:uid="{00000000-0005-0000-0000-00005A0D0000}"/>
    <cellStyle name="Moeda" xfId="90" builtinId="4"/>
    <cellStyle name="Moeda 16" xfId="3561" xr:uid="{00000000-0005-0000-0000-00005C0D0000}"/>
    <cellStyle name="Moeda 2" xfId="5" xr:uid="{00000000-0005-0000-0000-00005D0D0000}"/>
    <cellStyle name="Moeda 2 10" xfId="119" xr:uid="{00000000-0005-0000-0000-00005E0D0000}"/>
    <cellStyle name="Moeda 2 11" xfId="123" xr:uid="{00000000-0005-0000-0000-00005F0D0000}"/>
    <cellStyle name="Moeda 2 12" xfId="127" xr:uid="{00000000-0005-0000-0000-0000600D0000}"/>
    <cellStyle name="Moeda 2 13" xfId="131" xr:uid="{00000000-0005-0000-0000-0000610D0000}"/>
    <cellStyle name="Moeda 2 14" xfId="135" xr:uid="{00000000-0005-0000-0000-0000620D0000}"/>
    <cellStyle name="Moeda 2 15" xfId="139" xr:uid="{00000000-0005-0000-0000-0000630D0000}"/>
    <cellStyle name="Moeda 2 16" xfId="143" xr:uid="{00000000-0005-0000-0000-0000640D0000}"/>
    <cellStyle name="Moeda 2 17" xfId="147" xr:uid="{00000000-0005-0000-0000-0000650D0000}"/>
    <cellStyle name="Moeda 2 18" xfId="151" xr:uid="{00000000-0005-0000-0000-0000660D0000}"/>
    <cellStyle name="Moeda 2 19" xfId="155" xr:uid="{00000000-0005-0000-0000-0000670D0000}"/>
    <cellStyle name="Moeda 2 2" xfId="6" xr:uid="{00000000-0005-0000-0000-0000680D0000}"/>
    <cellStyle name="Moeda 2 2 2" xfId="161" xr:uid="{00000000-0005-0000-0000-0000690D0000}"/>
    <cellStyle name="Moeda 2 20" xfId="182" xr:uid="{00000000-0005-0000-0000-00006A0D0000}"/>
    <cellStyle name="Moeda 2 3" xfId="91" xr:uid="{00000000-0005-0000-0000-00006B0D0000}"/>
    <cellStyle name="Moeda 2 4" xfId="95" xr:uid="{00000000-0005-0000-0000-00006C0D0000}"/>
    <cellStyle name="Moeda 2 5" xfId="99" xr:uid="{00000000-0005-0000-0000-00006D0D0000}"/>
    <cellStyle name="Moeda 2 6" xfId="103" xr:uid="{00000000-0005-0000-0000-00006E0D0000}"/>
    <cellStyle name="Moeda 2 7" xfId="107" xr:uid="{00000000-0005-0000-0000-00006F0D0000}"/>
    <cellStyle name="Moeda 2 8" xfId="111" xr:uid="{00000000-0005-0000-0000-0000700D0000}"/>
    <cellStyle name="Moeda 2 9" xfId="115" xr:uid="{00000000-0005-0000-0000-0000710D0000}"/>
    <cellStyle name="Moeda 3" xfId="7" xr:uid="{00000000-0005-0000-0000-0000720D0000}"/>
    <cellStyle name="Moeda 3 10" xfId="124" xr:uid="{00000000-0005-0000-0000-0000730D0000}"/>
    <cellStyle name="Moeda 3 11" xfId="128" xr:uid="{00000000-0005-0000-0000-0000740D0000}"/>
    <cellStyle name="Moeda 3 12" xfId="132" xr:uid="{00000000-0005-0000-0000-0000750D0000}"/>
    <cellStyle name="Moeda 3 13" xfId="136" xr:uid="{00000000-0005-0000-0000-0000760D0000}"/>
    <cellStyle name="Moeda 3 14" xfId="140" xr:uid="{00000000-0005-0000-0000-0000770D0000}"/>
    <cellStyle name="Moeda 3 15" xfId="144" xr:uid="{00000000-0005-0000-0000-0000780D0000}"/>
    <cellStyle name="Moeda 3 16" xfId="148" xr:uid="{00000000-0005-0000-0000-0000790D0000}"/>
    <cellStyle name="Moeda 3 17" xfId="152" xr:uid="{00000000-0005-0000-0000-00007A0D0000}"/>
    <cellStyle name="Moeda 3 18" xfId="156" xr:uid="{00000000-0005-0000-0000-00007B0D0000}"/>
    <cellStyle name="Moeda 3 19" xfId="162" xr:uid="{00000000-0005-0000-0000-00007C0D0000}"/>
    <cellStyle name="Moeda 3 2" xfId="92" xr:uid="{00000000-0005-0000-0000-00007D0D0000}"/>
    <cellStyle name="Moeda 3 3" xfId="96" xr:uid="{00000000-0005-0000-0000-00007E0D0000}"/>
    <cellStyle name="Moeda 3 4" xfId="100" xr:uid="{00000000-0005-0000-0000-00007F0D0000}"/>
    <cellStyle name="Moeda 3 5" xfId="104" xr:uid="{00000000-0005-0000-0000-0000800D0000}"/>
    <cellStyle name="Moeda 3 6" xfId="108" xr:uid="{00000000-0005-0000-0000-0000810D0000}"/>
    <cellStyle name="Moeda 3 7" xfId="112" xr:uid="{00000000-0005-0000-0000-0000820D0000}"/>
    <cellStyle name="Moeda 3 8" xfId="116" xr:uid="{00000000-0005-0000-0000-0000830D0000}"/>
    <cellStyle name="Moeda 3 9" xfId="120" xr:uid="{00000000-0005-0000-0000-0000840D0000}"/>
    <cellStyle name="Moeda 4" xfId="160" xr:uid="{00000000-0005-0000-0000-0000850D0000}"/>
    <cellStyle name="Moeda 4 2" xfId="3562" xr:uid="{00000000-0005-0000-0000-0000860D0000}"/>
    <cellStyle name="Moeda 5" xfId="82" xr:uid="{00000000-0005-0000-0000-0000870D0000}"/>
    <cellStyle name="Moeda 5 2" xfId="3563" xr:uid="{00000000-0005-0000-0000-0000880D0000}"/>
    <cellStyle name="Moeda 6" xfId="180" xr:uid="{00000000-0005-0000-0000-0000890D0000}"/>
    <cellStyle name="Moeda 6 2" xfId="3564" xr:uid="{00000000-0005-0000-0000-00008A0D0000}"/>
    <cellStyle name="Moeda 7" xfId="3565" xr:uid="{00000000-0005-0000-0000-00008B0D0000}"/>
    <cellStyle name="Moeda 7 2" xfId="3566" xr:uid="{00000000-0005-0000-0000-00008C0D0000}"/>
    <cellStyle name="Moeda 7 3" xfId="5039" xr:uid="{00000000-0005-0000-0000-00008D0D0000}"/>
    <cellStyle name="Moeda 8" xfId="5040" xr:uid="{00000000-0005-0000-0000-00008E0D0000}"/>
    <cellStyle name="Moeda0" xfId="83" xr:uid="{00000000-0005-0000-0000-00008F0D0000}"/>
    <cellStyle name="Neutra 10" xfId="3567" xr:uid="{00000000-0005-0000-0000-0000900D0000}"/>
    <cellStyle name="Neutra 10 2" xfId="3568" xr:uid="{00000000-0005-0000-0000-0000910D0000}"/>
    <cellStyle name="Neutra 10 2 2" xfId="3569" xr:uid="{00000000-0005-0000-0000-0000920D0000}"/>
    <cellStyle name="Neutra 10 3" xfId="3570" xr:uid="{00000000-0005-0000-0000-0000930D0000}"/>
    <cellStyle name="Neutra 11" xfId="3571" xr:uid="{00000000-0005-0000-0000-0000940D0000}"/>
    <cellStyle name="Neutra 11 2" xfId="3572" xr:uid="{00000000-0005-0000-0000-0000950D0000}"/>
    <cellStyle name="Neutra 11 2 2" xfId="3573" xr:uid="{00000000-0005-0000-0000-0000960D0000}"/>
    <cellStyle name="Neutra 11 3" xfId="3574" xr:uid="{00000000-0005-0000-0000-0000970D0000}"/>
    <cellStyle name="Neutra 12" xfId="3575" xr:uid="{00000000-0005-0000-0000-0000980D0000}"/>
    <cellStyle name="Neutra 12 2" xfId="3576" xr:uid="{00000000-0005-0000-0000-0000990D0000}"/>
    <cellStyle name="Neutra 12 2 2" xfId="3577" xr:uid="{00000000-0005-0000-0000-00009A0D0000}"/>
    <cellStyle name="Neutra 12 3" xfId="3578" xr:uid="{00000000-0005-0000-0000-00009B0D0000}"/>
    <cellStyle name="Neutra 13" xfId="3579" xr:uid="{00000000-0005-0000-0000-00009C0D0000}"/>
    <cellStyle name="Neutra 13 2" xfId="3580" xr:uid="{00000000-0005-0000-0000-00009D0D0000}"/>
    <cellStyle name="Neutra 13 2 2" xfId="3581" xr:uid="{00000000-0005-0000-0000-00009E0D0000}"/>
    <cellStyle name="Neutra 13 3" xfId="3582" xr:uid="{00000000-0005-0000-0000-00009F0D0000}"/>
    <cellStyle name="Neutra 14" xfId="3583" xr:uid="{00000000-0005-0000-0000-0000A00D0000}"/>
    <cellStyle name="Neutra 14 2" xfId="3584" xr:uid="{00000000-0005-0000-0000-0000A10D0000}"/>
    <cellStyle name="Neutra 14 2 2" xfId="3585" xr:uid="{00000000-0005-0000-0000-0000A20D0000}"/>
    <cellStyle name="Neutra 14 3" xfId="3586" xr:uid="{00000000-0005-0000-0000-0000A30D0000}"/>
    <cellStyle name="Neutra 15" xfId="3587" xr:uid="{00000000-0005-0000-0000-0000A40D0000}"/>
    <cellStyle name="Neutra 15 2" xfId="3588" xr:uid="{00000000-0005-0000-0000-0000A50D0000}"/>
    <cellStyle name="Neutra 15 2 2" xfId="3589" xr:uid="{00000000-0005-0000-0000-0000A60D0000}"/>
    <cellStyle name="Neutra 15 3" xfId="3590" xr:uid="{00000000-0005-0000-0000-0000A70D0000}"/>
    <cellStyle name="Neutra 16" xfId="3591" xr:uid="{00000000-0005-0000-0000-0000A80D0000}"/>
    <cellStyle name="Neutra 16 2" xfId="3592" xr:uid="{00000000-0005-0000-0000-0000A90D0000}"/>
    <cellStyle name="Neutra 16 2 2" xfId="3593" xr:uid="{00000000-0005-0000-0000-0000AA0D0000}"/>
    <cellStyle name="Neutra 16 3" xfId="3594" xr:uid="{00000000-0005-0000-0000-0000AB0D0000}"/>
    <cellStyle name="Neutra 17" xfId="3595" xr:uid="{00000000-0005-0000-0000-0000AC0D0000}"/>
    <cellStyle name="Neutra 17 2" xfId="3596" xr:uid="{00000000-0005-0000-0000-0000AD0D0000}"/>
    <cellStyle name="Neutra 17 2 2" xfId="3597" xr:uid="{00000000-0005-0000-0000-0000AE0D0000}"/>
    <cellStyle name="Neutra 17 3" xfId="3598" xr:uid="{00000000-0005-0000-0000-0000AF0D0000}"/>
    <cellStyle name="Neutra 18" xfId="3599" xr:uid="{00000000-0005-0000-0000-0000B00D0000}"/>
    <cellStyle name="Neutra 18 2" xfId="3600" xr:uid="{00000000-0005-0000-0000-0000B10D0000}"/>
    <cellStyle name="Neutra 18 2 2" xfId="3601" xr:uid="{00000000-0005-0000-0000-0000B20D0000}"/>
    <cellStyle name="Neutra 18 3" xfId="3602" xr:uid="{00000000-0005-0000-0000-0000B30D0000}"/>
    <cellStyle name="Neutra 19" xfId="3603" xr:uid="{00000000-0005-0000-0000-0000B40D0000}"/>
    <cellStyle name="Neutra 19 2" xfId="3604" xr:uid="{00000000-0005-0000-0000-0000B50D0000}"/>
    <cellStyle name="Neutra 19 2 2" xfId="3605" xr:uid="{00000000-0005-0000-0000-0000B60D0000}"/>
    <cellStyle name="Neutra 19 3" xfId="3606" xr:uid="{00000000-0005-0000-0000-0000B70D0000}"/>
    <cellStyle name="Neutra 2" xfId="3607" xr:uid="{00000000-0005-0000-0000-0000B80D0000}"/>
    <cellStyle name="Neutra 2 2" xfId="3608" xr:uid="{00000000-0005-0000-0000-0000B90D0000}"/>
    <cellStyle name="Neutra 2 2 2" xfId="3609" xr:uid="{00000000-0005-0000-0000-0000BA0D0000}"/>
    <cellStyle name="Neutra 2 2 2 2" xfId="3610" xr:uid="{00000000-0005-0000-0000-0000BB0D0000}"/>
    <cellStyle name="Neutra 2 2 3" xfId="3611" xr:uid="{00000000-0005-0000-0000-0000BC0D0000}"/>
    <cellStyle name="Neutra 2 3" xfId="3612" xr:uid="{00000000-0005-0000-0000-0000BD0D0000}"/>
    <cellStyle name="Neutra 20" xfId="3613" xr:uid="{00000000-0005-0000-0000-0000BE0D0000}"/>
    <cellStyle name="Neutra 20 2" xfId="3614" xr:uid="{00000000-0005-0000-0000-0000BF0D0000}"/>
    <cellStyle name="Neutra 20 2 2" xfId="3615" xr:uid="{00000000-0005-0000-0000-0000C00D0000}"/>
    <cellStyle name="Neutra 20 3" xfId="3616" xr:uid="{00000000-0005-0000-0000-0000C10D0000}"/>
    <cellStyle name="Neutra 21" xfId="3617" xr:uid="{00000000-0005-0000-0000-0000C20D0000}"/>
    <cellStyle name="Neutra 21 2" xfId="3618" xr:uid="{00000000-0005-0000-0000-0000C30D0000}"/>
    <cellStyle name="Neutra 21 2 2" xfId="3619" xr:uid="{00000000-0005-0000-0000-0000C40D0000}"/>
    <cellStyle name="Neutra 21 3" xfId="3620" xr:uid="{00000000-0005-0000-0000-0000C50D0000}"/>
    <cellStyle name="Neutra 22" xfId="3621" xr:uid="{00000000-0005-0000-0000-0000C60D0000}"/>
    <cellStyle name="Neutra 22 2" xfId="3622" xr:uid="{00000000-0005-0000-0000-0000C70D0000}"/>
    <cellStyle name="Neutra 22 2 2" xfId="3623" xr:uid="{00000000-0005-0000-0000-0000C80D0000}"/>
    <cellStyle name="Neutra 22 3" xfId="3624" xr:uid="{00000000-0005-0000-0000-0000C90D0000}"/>
    <cellStyle name="Neutra 23" xfId="3625" xr:uid="{00000000-0005-0000-0000-0000CA0D0000}"/>
    <cellStyle name="Neutra 23 2" xfId="3626" xr:uid="{00000000-0005-0000-0000-0000CB0D0000}"/>
    <cellStyle name="Neutra 23 2 2" xfId="3627" xr:uid="{00000000-0005-0000-0000-0000CC0D0000}"/>
    <cellStyle name="Neutra 23 3" xfId="3628" xr:uid="{00000000-0005-0000-0000-0000CD0D0000}"/>
    <cellStyle name="Neutra 24" xfId="3629" xr:uid="{00000000-0005-0000-0000-0000CE0D0000}"/>
    <cellStyle name="Neutra 24 2" xfId="3630" xr:uid="{00000000-0005-0000-0000-0000CF0D0000}"/>
    <cellStyle name="Neutra 24 2 2" xfId="3631" xr:uid="{00000000-0005-0000-0000-0000D00D0000}"/>
    <cellStyle name="Neutra 24 3" xfId="3632" xr:uid="{00000000-0005-0000-0000-0000D10D0000}"/>
    <cellStyle name="Neutra 25" xfId="3633" xr:uid="{00000000-0005-0000-0000-0000D20D0000}"/>
    <cellStyle name="Neutra 25 2" xfId="3634" xr:uid="{00000000-0005-0000-0000-0000D30D0000}"/>
    <cellStyle name="Neutra 25 2 2" xfId="3635" xr:uid="{00000000-0005-0000-0000-0000D40D0000}"/>
    <cellStyle name="Neutra 25 3" xfId="3636" xr:uid="{00000000-0005-0000-0000-0000D50D0000}"/>
    <cellStyle name="Neutra 26" xfId="3637" xr:uid="{00000000-0005-0000-0000-0000D60D0000}"/>
    <cellStyle name="Neutra 26 2" xfId="3638" xr:uid="{00000000-0005-0000-0000-0000D70D0000}"/>
    <cellStyle name="Neutra 26 2 2" xfId="3639" xr:uid="{00000000-0005-0000-0000-0000D80D0000}"/>
    <cellStyle name="Neutra 26 3" xfId="3640" xr:uid="{00000000-0005-0000-0000-0000D90D0000}"/>
    <cellStyle name="Neutra 27" xfId="3641" xr:uid="{00000000-0005-0000-0000-0000DA0D0000}"/>
    <cellStyle name="Neutra 27 2" xfId="3642" xr:uid="{00000000-0005-0000-0000-0000DB0D0000}"/>
    <cellStyle name="Neutra 27 2 2" xfId="3643" xr:uid="{00000000-0005-0000-0000-0000DC0D0000}"/>
    <cellStyle name="Neutra 27 3" xfId="3644" xr:uid="{00000000-0005-0000-0000-0000DD0D0000}"/>
    <cellStyle name="Neutra 28" xfId="3645" xr:uid="{00000000-0005-0000-0000-0000DE0D0000}"/>
    <cellStyle name="Neutra 28 2" xfId="3646" xr:uid="{00000000-0005-0000-0000-0000DF0D0000}"/>
    <cellStyle name="Neutra 28 2 2" xfId="3647" xr:uid="{00000000-0005-0000-0000-0000E00D0000}"/>
    <cellStyle name="Neutra 28 3" xfId="3648" xr:uid="{00000000-0005-0000-0000-0000E10D0000}"/>
    <cellStyle name="Neutra 29" xfId="3649" xr:uid="{00000000-0005-0000-0000-0000E20D0000}"/>
    <cellStyle name="Neutra 29 2" xfId="3650" xr:uid="{00000000-0005-0000-0000-0000E30D0000}"/>
    <cellStyle name="Neutra 29 2 2" xfId="3651" xr:uid="{00000000-0005-0000-0000-0000E40D0000}"/>
    <cellStyle name="Neutra 29 3" xfId="3652" xr:uid="{00000000-0005-0000-0000-0000E50D0000}"/>
    <cellStyle name="Neutra 3" xfId="3653" xr:uid="{00000000-0005-0000-0000-0000E60D0000}"/>
    <cellStyle name="Neutra 3 2" xfId="3654" xr:uid="{00000000-0005-0000-0000-0000E70D0000}"/>
    <cellStyle name="Neutra 3 2 2" xfId="3655" xr:uid="{00000000-0005-0000-0000-0000E80D0000}"/>
    <cellStyle name="Neutra 3 3" xfId="3656" xr:uid="{00000000-0005-0000-0000-0000E90D0000}"/>
    <cellStyle name="Neutra 30" xfId="3657" xr:uid="{00000000-0005-0000-0000-0000EA0D0000}"/>
    <cellStyle name="Neutra 30 2" xfId="3658" xr:uid="{00000000-0005-0000-0000-0000EB0D0000}"/>
    <cellStyle name="Neutra 30 2 2" xfId="3659" xr:uid="{00000000-0005-0000-0000-0000EC0D0000}"/>
    <cellStyle name="Neutra 30 3" xfId="3660" xr:uid="{00000000-0005-0000-0000-0000ED0D0000}"/>
    <cellStyle name="Neutra 31" xfId="3661" xr:uid="{00000000-0005-0000-0000-0000EE0D0000}"/>
    <cellStyle name="Neutra 31 2" xfId="3662" xr:uid="{00000000-0005-0000-0000-0000EF0D0000}"/>
    <cellStyle name="Neutra 31 2 2" xfId="3663" xr:uid="{00000000-0005-0000-0000-0000F00D0000}"/>
    <cellStyle name="Neutra 31 3" xfId="3664" xr:uid="{00000000-0005-0000-0000-0000F10D0000}"/>
    <cellStyle name="Neutra 32" xfId="3665" xr:uid="{00000000-0005-0000-0000-0000F20D0000}"/>
    <cellStyle name="Neutra 32 2" xfId="3666" xr:uid="{00000000-0005-0000-0000-0000F30D0000}"/>
    <cellStyle name="Neutra 32 2 2" xfId="3667" xr:uid="{00000000-0005-0000-0000-0000F40D0000}"/>
    <cellStyle name="Neutra 32 3" xfId="3668" xr:uid="{00000000-0005-0000-0000-0000F50D0000}"/>
    <cellStyle name="Neutra 33" xfId="3669" xr:uid="{00000000-0005-0000-0000-0000F60D0000}"/>
    <cellStyle name="Neutra 33 2" xfId="3670" xr:uid="{00000000-0005-0000-0000-0000F70D0000}"/>
    <cellStyle name="Neutra 33 2 2" xfId="3671" xr:uid="{00000000-0005-0000-0000-0000F80D0000}"/>
    <cellStyle name="Neutra 33 3" xfId="3672" xr:uid="{00000000-0005-0000-0000-0000F90D0000}"/>
    <cellStyle name="Neutra 34" xfId="3673" xr:uid="{00000000-0005-0000-0000-0000FA0D0000}"/>
    <cellStyle name="Neutra 34 2" xfId="3674" xr:uid="{00000000-0005-0000-0000-0000FB0D0000}"/>
    <cellStyle name="Neutra 34 2 2" xfId="3675" xr:uid="{00000000-0005-0000-0000-0000FC0D0000}"/>
    <cellStyle name="Neutra 34 3" xfId="3676" xr:uid="{00000000-0005-0000-0000-0000FD0D0000}"/>
    <cellStyle name="Neutra 35" xfId="3677" xr:uid="{00000000-0005-0000-0000-0000FE0D0000}"/>
    <cellStyle name="Neutra 35 2" xfId="3678" xr:uid="{00000000-0005-0000-0000-0000FF0D0000}"/>
    <cellStyle name="Neutra 35 2 2" xfId="3679" xr:uid="{00000000-0005-0000-0000-0000000E0000}"/>
    <cellStyle name="Neutra 35 3" xfId="3680" xr:uid="{00000000-0005-0000-0000-0000010E0000}"/>
    <cellStyle name="Neutra 36" xfId="3681" xr:uid="{00000000-0005-0000-0000-0000020E0000}"/>
    <cellStyle name="Neutra 36 2" xfId="3682" xr:uid="{00000000-0005-0000-0000-0000030E0000}"/>
    <cellStyle name="Neutra 36 2 2" xfId="3683" xr:uid="{00000000-0005-0000-0000-0000040E0000}"/>
    <cellStyle name="Neutra 36 3" xfId="3684" xr:uid="{00000000-0005-0000-0000-0000050E0000}"/>
    <cellStyle name="Neutra 37" xfId="3685" xr:uid="{00000000-0005-0000-0000-0000060E0000}"/>
    <cellStyle name="Neutra 37 2" xfId="3686" xr:uid="{00000000-0005-0000-0000-0000070E0000}"/>
    <cellStyle name="Neutra 37 2 2" xfId="3687" xr:uid="{00000000-0005-0000-0000-0000080E0000}"/>
    <cellStyle name="Neutra 37 3" xfId="3688" xr:uid="{00000000-0005-0000-0000-0000090E0000}"/>
    <cellStyle name="Neutra 4" xfId="3689" xr:uid="{00000000-0005-0000-0000-00000A0E0000}"/>
    <cellStyle name="Neutra 4 2" xfId="3690" xr:uid="{00000000-0005-0000-0000-00000B0E0000}"/>
    <cellStyle name="Neutra 4 2 2" xfId="3691" xr:uid="{00000000-0005-0000-0000-00000C0E0000}"/>
    <cellStyle name="Neutra 4 3" xfId="3692" xr:uid="{00000000-0005-0000-0000-00000D0E0000}"/>
    <cellStyle name="Neutra 5" xfId="3693" xr:uid="{00000000-0005-0000-0000-00000E0E0000}"/>
    <cellStyle name="Neutra 5 2" xfId="3694" xr:uid="{00000000-0005-0000-0000-00000F0E0000}"/>
    <cellStyle name="Neutra 5 2 2" xfId="3695" xr:uid="{00000000-0005-0000-0000-0000100E0000}"/>
    <cellStyle name="Neutra 5 3" xfId="3696" xr:uid="{00000000-0005-0000-0000-0000110E0000}"/>
    <cellStyle name="Neutra 6" xfId="3697" xr:uid="{00000000-0005-0000-0000-0000120E0000}"/>
    <cellStyle name="Neutra 6 2" xfId="3698" xr:uid="{00000000-0005-0000-0000-0000130E0000}"/>
    <cellStyle name="Neutra 6 2 2" xfId="3699" xr:uid="{00000000-0005-0000-0000-0000140E0000}"/>
    <cellStyle name="Neutra 6 3" xfId="3700" xr:uid="{00000000-0005-0000-0000-0000150E0000}"/>
    <cellStyle name="Neutra 7" xfId="3701" xr:uid="{00000000-0005-0000-0000-0000160E0000}"/>
    <cellStyle name="Neutra 7 2" xfId="3702" xr:uid="{00000000-0005-0000-0000-0000170E0000}"/>
    <cellStyle name="Neutra 7 2 2" xfId="3703" xr:uid="{00000000-0005-0000-0000-0000180E0000}"/>
    <cellStyle name="Neutra 7 3" xfId="3704" xr:uid="{00000000-0005-0000-0000-0000190E0000}"/>
    <cellStyle name="Neutra 8" xfId="3705" xr:uid="{00000000-0005-0000-0000-00001A0E0000}"/>
    <cellStyle name="Neutra 8 2" xfId="3706" xr:uid="{00000000-0005-0000-0000-00001B0E0000}"/>
    <cellStyle name="Neutra 8 2 2" xfId="3707" xr:uid="{00000000-0005-0000-0000-00001C0E0000}"/>
    <cellStyle name="Neutra 8 3" xfId="3708" xr:uid="{00000000-0005-0000-0000-00001D0E0000}"/>
    <cellStyle name="Neutra 9" xfId="3709" xr:uid="{00000000-0005-0000-0000-00001E0E0000}"/>
    <cellStyle name="Neutra 9 2" xfId="3710" xr:uid="{00000000-0005-0000-0000-00001F0E0000}"/>
    <cellStyle name="Neutra 9 2 2" xfId="3711" xr:uid="{00000000-0005-0000-0000-0000200E0000}"/>
    <cellStyle name="Neutra 9 3" xfId="3712" xr:uid="{00000000-0005-0000-0000-0000210E0000}"/>
    <cellStyle name="Neutral" xfId="84" xr:uid="{00000000-0005-0000-0000-0000220E0000}"/>
    <cellStyle name="Normal" xfId="0" builtinId="0"/>
    <cellStyle name="Normal 10 2" xfId="3713" xr:uid="{00000000-0005-0000-0000-0000240E0000}"/>
    <cellStyle name="Normal 11 2" xfId="3714" xr:uid="{00000000-0005-0000-0000-0000250E0000}"/>
    <cellStyle name="Normal 12 2" xfId="3715" xr:uid="{00000000-0005-0000-0000-0000260E0000}"/>
    <cellStyle name="Normal 13 2" xfId="3716" xr:uid="{00000000-0005-0000-0000-0000270E0000}"/>
    <cellStyle name="Normal 14 2" xfId="3717" xr:uid="{00000000-0005-0000-0000-0000280E0000}"/>
    <cellStyle name="Normal 15 2" xfId="3718" xr:uid="{00000000-0005-0000-0000-0000290E0000}"/>
    <cellStyle name="Normal 16 2" xfId="3719" xr:uid="{00000000-0005-0000-0000-00002A0E0000}"/>
    <cellStyle name="Normal 17 2" xfId="3720" xr:uid="{00000000-0005-0000-0000-00002B0E0000}"/>
    <cellStyle name="Normal 18 2" xfId="3721" xr:uid="{00000000-0005-0000-0000-00002C0E0000}"/>
    <cellStyle name="Normal 19 2" xfId="3722" xr:uid="{00000000-0005-0000-0000-00002D0E0000}"/>
    <cellStyle name="Normal 2" xfId="3723" xr:uid="{00000000-0005-0000-0000-00002E0E0000}"/>
    <cellStyle name="Normal 2 2" xfId="8" xr:uid="{00000000-0005-0000-0000-00002F0E0000}"/>
    <cellStyle name="Normal 2 2 2" xfId="9" xr:uid="{00000000-0005-0000-0000-0000300E0000}"/>
    <cellStyle name="Normal 2 2 2 2" xfId="163" xr:uid="{00000000-0005-0000-0000-0000310E0000}"/>
    <cellStyle name="Normal 2 2 3" xfId="10" xr:uid="{00000000-0005-0000-0000-0000320E0000}"/>
    <cellStyle name="Normal 2 2 3 2" xfId="164" xr:uid="{00000000-0005-0000-0000-0000330E0000}"/>
    <cellStyle name="Normal 2 2 4" xfId="11" xr:uid="{00000000-0005-0000-0000-0000340E0000}"/>
    <cellStyle name="Normal 2 2 4 2" xfId="165" xr:uid="{00000000-0005-0000-0000-0000350E0000}"/>
    <cellStyle name="Normal 2 3" xfId="12" xr:uid="{00000000-0005-0000-0000-0000360E0000}"/>
    <cellStyle name="Normal 2 4" xfId="13" xr:uid="{00000000-0005-0000-0000-0000370E0000}"/>
    <cellStyle name="Normal 2 4 2" xfId="166" xr:uid="{00000000-0005-0000-0000-0000380E0000}"/>
    <cellStyle name="Normal 2 5" xfId="14" xr:uid="{00000000-0005-0000-0000-0000390E0000}"/>
    <cellStyle name="Normal 2 5 2" xfId="167" xr:uid="{00000000-0005-0000-0000-00003A0E0000}"/>
    <cellStyle name="Normal 20 2" xfId="3724" xr:uid="{00000000-0005-0000-0000-00003B0E0000}"/>
    <cellStyle name="Normal 21 2" xfId="3725" xr:uid="{00000000-0005-0000-0000-00003C0E0000}"/>
    <cellStyle name="Normal 22 2" xfId="3726" xr:uid="{00000000-0005-0000-0000-00003D0E0000}"/>
    <cellStyle name="Normal 23 2" xfId="3727" xr:uid="{00000000-0005-0000-0000-00003E0E0000}"/>
    <cellStyle name="Normal 24 2" xfId="3728" xr:uid="{00000000-0005-0000-0000-00003F0E0000}"/>
    <cellStyle name="Normal 25 2" xfId="3729" xr:uid="{00000000-0005-0000-0000-0000400E0000}"/>
    <cellStyle name="Normal 26 2" xfId="3730" xr:uid="{00000000-0005-0000-0000-0000410E0000}"/>
    <cellStyle name="Normal 27 2" xfId="3731" xr:uid="{00000000-0005-0000-0000-0000420E0000}"/>
    <cellStyle name="Normal 28 2" xfId="3732" xr:uid="{00000000-0005-0000-0000-0000430E0000}"/>
    <cellStyle name="Normal 29 2" xfId="3733" xr:uid="{00000000-0005-0000-0000-0000440E0000}"/>
    <cellStyle name="Normal 3" xfId="15" xr:uid="{00000000-0005-0000-0000-0000450E0000}"/>
    <cellStyle name="Normal 3 2" xfId="3734" xr:uid="{00000000-0005-0000-0000-0000460E0000}"/>
    <cellStyle name="Normal 30 2" xfId="3735" xr:uid="{00000000-0005-0000-0000-0000470E0000}"/>
    <cellStyle name="Normal 31 2" xfId="3736" xr:uid="{00000000-0005-0000-0000-0000480E0000}"/>
    <cellStyle name="Normal 32 2" xfId="3737" xr:uid="{00000000-0005-0000-0000-0000490E0000}"/>
    <cellStyle name="Normal 33 2" xfId="3738" xr:uid="{00000000-0005-0000-0000-00004A0E0000}"/>
    <cellStyle name="Normal 34 2" xfId="3739" xr:uid="{00000000-0005-0000-0000-00004B0E0000}"/>
    <cellStyle name="Normal 35 2" xfId="3740" xr:uid="{00000000-0005-0000-0000-00004C0E0000}"/>
    <cellStyle name="Normal 36 2" xfId="3741" xr:uid="{00000000-0005-0000-0000-00004D0E0000}"/>
    <cellStyle name="Normal 37 2" xfId="3742" xr:uid="{00000000-0005-0000-0000-00004E0E0000}"/>
    <cellStyle name="Normal 38 2" xfId="3743" xr:uid="{00000000-0005-0000-0000-00004F0E0000}"/>
    <cellStyle name="Normal 39 2" xfId="3744" xr:uid="{00000000-0005-0000-0000-0000500E0000}"/>
    <cellStyle name="Normal 4" xfId="16" xr:uid="{00000000-0005-0000-0000-0000510E0000}"/>
    <cellStyle name="Normal 4 2" xfId="3745" xr:uid="{00000000-0005-0000-0000-0000520E0000}"/>
    <cellStyle name="Normal 40 2" xfId="3746" xr:uid="{00000000-0005-0000-0000-0000530E0000}"/>
    <cellStyle name="Normal 41 2" xfId="3747" xr:uid="{00000000-0005-0000-0000-0000540E0000}"/>
    <cellStyle name="Normal 42 2" xfId="3748" xr:uid="{00000000-0005-0000-0000-0000550E0000}"/>
    <cellStyle name="Normal 43 2" xfId="3749" xr:uid="{00000000-0005-0000-0000-0000560E0000}"/>
    <cellStyle name="Normal 44 2" xfId="3750" xr:uid="{00000000-0005-0000-0000-0000570E0000}"/>
    <cellStyle name="Normal 45 2" xfId="3751" xr:uid="{00000000-0005-0000-0000-0000580E0000}"/>
    <cellStyle name="Normal 46 2" xfId="3752" xr:uid="{00000000-0005-0000-0000-0000590E0000}"/>
    <cellStyle name="Normal 47 2" xfId="3753" xr:uid="{00000000-0005-0000-0000-00005A0E0000}"/>
    <cellStyle name="Normal 48 2" xfId="3754" xr:uid="{00000000-0005-0000-0000-00005B0E0000}"/>
    <cellStyle name="Normal 49 2" xfId="3755" xr:uid="{00000000-0005-0000-0000-00005C0E0000}"/>
    <cellStyle name="Normal 5" xfId="17" xr:uid="{00000000-0005-0000-0000-00005D0E0000}"/>
    <cellStyle name="Normal 5 2" xfId="18" xr:uid="{00000000-0005-0000-0000-00005E0E0000}"/>
    <cellStyle name="Normal 5 2 2" xfId="5042" xr:uid="{00000000-0005-0000-0000-00005F0E0000}"/>
    <cellStyle name="Normal 50 2" xfId="3756" xr:uid="{00000000-0005-0000-0000-0000600E0000}"/>
    <cellStyle name="Normal 51 2" xfId="3757" xr:uid="{00000000-0005-0000-0000-0000610E0000}"/>
    <cellStyle name="Normal 52 2" xfId="3758" xr:uid="{00000000-0005-0000-0000-0000620E0000}"/>
    <cellStyle name="Normal 53 2" xfId="3759" xr:uid="{00000000-0005-0000-0000-0000630E0000}"/>
    <cellStyle name="Normal 54 2" xfId="3760" xr:uid="{00000000-0005-0000-0000-0000640E0000}"/>
    <cellStyle name="Normal 55 2" xfId="3761" xr:uid="{00000000-0005-0000-0000-0000650E0000}"/>
    <cellStyle name="Normal 56 2" xfId="3762" xr:uid="{00000000-0005-0000-0000-0000660E0000}"/>
    <cellStyle name="Normal 57 2" xfId="3763" xr:uid="{00000000-0005-0000-0000-0000670E0000}"/>
    <cellStyle name="Normal 58 2" xfId="3764" xr:uid="{00000000-0005-0000-0000-0000680E0000}"/>
    <cellStyle name="Normal 59 2" xfId="3765" xr:uid="{00000000-0005-0000-0000-0000690E0000}"/>
    <cellStyle name="Normal 6" xfId="19" xr:uid="{00000000-0005-0000-0000-00006A0E0000}"/>
    <cellStyle name="Normal 6 2" xfId="3766" xr:uid="{00000000-0005-0000-0000-00006B0E0000}"/>
    <cellStyle name="Normal 60 2" xfId="3767" xr:uid="{00000000-0005-0000-0000-00006C0E0000}"/>
    <cellStyle name="Normal 61 2" xfId="3768" xr:uid="{00000000-0005-0000-0000-00006D0E0000}"/>
    <cellStyle name="Normal 62 2" xfId="3769" xr:uid="{00000000-0005-0000-0000-00006E0E0000}"/>
    <cellStyle name="Normal 63 2" xfId="3770" xr:uid="{00000000-0005-0000-0000-00006F0E0000}"/>
    <cellStyle name="Normal 64 2" xfId="3771" xr:uid="{00000000-0005-0000-0000-0000700E0000}"/>
    <cellStyle name="Normal 65 2" xfId="3772" xr:uid="{00000000-0005-0000-0000-0000710E0000}"/>
    <cellStyle name="Normal 66 2" xfId="3773" xr:uid="{00000000-0005-0000-0000-0000720E0000}"/>
    <cellStyle name="Normal 67 2" xfId="3774" xr:uid="{00000000-0005-0000-0000-0000730E0000}"/>
    <cellStyle name="Normal 68 2" xfId="3775" xr:uid="{00000000-0005-0000-0000-0000740E0000}"/>
    <cellStyle name="Normal 69 2" xfId="3776" xr:uid="{00000000-0005-0000-0000-0000750E0000}"/>
    <cellStyle name="Normal 7" xfId="20" xr:uid="{00000000-0005-0000-0000-0000760E0000}"/>
    <cellStyle name="Normal 7 2" xfId="168" xr:uid="{00000000-0005-0000-0000-0000770E0000}"/>
    <cellStyle name="Normal 7 3" xfId="3777" xr:uid="{00000000-0005-0000-0000-0000780E0000}"/>
    <cellStyle name="Normal 70 2" xfId="3778" xr:uid="{00000000-0005-0000-0000-0000790E0000}"/>
    <cellStyle name="Normal 71 2" xfId="3779" xr:uid="{00000000-0005-0000-0000-00007A0E0000}"/>
    <cellStyle name="Normal 72 2" xfId="3780" xr:uid="{00000000-0005-0000-0000-00007B0E0000}"/>
    <cellStyle name="Normal 73 2" xfId="3781" xr:uid="{00000000-0005-0000-0000-00007C0E0000}"/>
    <cellStyle name="Normal 74" xfId="3782" xr:uid="{00000000-0005-0000-0000-00007D0E0000}"/>
    <cellStyle name="Normal 75" xfId="3783" xr:uid="{00000000-0005-0000-0000-00007E0E0000}"/>
    <cellStyle name="Normal 8 2" xfId="3784" xr:uid="{00000000-0005-0000-0000-00007F0E0000}"/>
    <cellStyle name="Normal 9" xfId="21" xr:uid="{00000000-0005-0000-0000-0000800E0000}"/>
    <cellStyle name="Normal 9 2" xfId="3785" xr:uid="{00000000-0005-0000-0000-0000810E0000}"/>
    <cellStyle name="Nota 10" xfId="3786" xr:uid="{00000000-0005-0000-0000-0000820E0000}"/>
    <cellStyle name="Nota 10 2" xfId="3787" xr:uid="{00000000-0005-0000-0000-0000830E0000}"/>
    <cellStyle name="Nota 10 2 2" xfId="3788" xr:uid="{00000000-0005-0000-0000-0000840E0000}"/>
    <cellStyle name="Nota 10 3" xfId="3789" xr:uid="{00000000-0005-0000-0000-0000850E0000}"/>
    <cellStyle name="Nota 11" xfId="3790" xr:uid="{00000000-0005-0000-0000-0000860E0000}"/>
    <cellStyle name="Nota 11 2" xfId="3791" xr:uid="{00000000-0005-0000-0000-0000870E0000}"/>
    <cellStyle name="Nota 11 2 2" xfId="3792" xr:uid="{00000000-0005-0000-0000-0000880E0000}"/>
    <cellStyle name="Nota 11 3" xfId="3793" xr:uid="{00000000-0005-0000-0000-0000890E0000}"/>
    <cellStyle name="Nota 12" xfId="3794" xr:uid="{00000000-0005-0000-0000-00008A0E0000}"/>
    <cellStyle name="Nota 12 2" xfId="3795" xr:uid="{00000000-0005-0000-0000-00008B0E0000}"/>
    <cellStyle name="Nota 12 2 2" xfId="3796" xr:uid="{00000000-0005-0000-0000-00008C0E0000}"/>
    <cellStyle name="Nota 12 3" xfId="3797" xr:uid="{00000000-0005-0000-0000-00008D0E0000}"/>
    <cellStyle name="Nota 13" xfId="3798" xr:uid="{00000000-0005-0000-0000-00008E0E0000}"/>
    <cellStyle name="Nota 13 2" xfId="3799" xr:uid="{00000000-0005-0000-0000-00008F0E0000}"/>
    <cellStyle name="Nota 13 2 2" xfId="3800" xr:uid="{00000000-0005-0000-0000-0000900E0000}"/>
    <cellStyle name="Nota 13 3" xfId="3801" xr:uid="{00000000-0005-0000-0000-0000910E0000}"/>
    <cellStyle name="Nota 14" xfId="3802" xr:uid="{00000000-0005-0000-0000-0000920E0000}"/>
    <cellStyle name="Nota 14 2" xfId="3803" xr:uid="{00000000-0005-0000-0000-0000930E0000}"/>
    <cellStyle name="Nota 14 2 2" xfId="3804" xr:uid="{00000000-0005-0000-0000-0000940E0000}"/>
    <cellStyle name="Nota 14 3" xfId="3805" xr:uid="{00000000-0005-0000-0000-0000950E0000}"/>
    <cellStyle name="Nota 15" xfId="3806" xr:uid="{00000000-0005-0000-0000-0000960E0000}"/>
    <cellStyle name="Nota 15 2" xfId="3807" xr:uid="{00000000-0005-0000-0000-0000970E0000}"/>
    <cellStyle name="Nota 15 2 2" xfId="3808" xr:uid="{00000000-0005-0000-0000-0000980E0000}"/>
    <cellStyle name="Nota 15 3" xfId="3809" xr:uid="{00000000-0005-0000-0000-0000990E0000}"/>
    <cellStyle name="Nota 16" xfId="3810" xr:uid="{00000000-0005-0000-0000-00009A0E0000}"/>
    <cellStyle name="Nota 16 2" xfId="3811" xr:uid="{00000000-0005-0000-0000-00009B0E0000}"/>
    <cellStyle name="Nota 16 2 2" xfId="3812" xr:uid="{00000000-0005-0000-0000-00009C0E0000}"/>
    <cellStyle name="Nota 16 3" xfId="3813" xr:uid="{00000000-0005-0000-0000-00009D0E0000}"/>
    <cellStyle name="Nota 17" xfId="3814" xr:uid="{00000000-0005-0000-0000-00009E0E0000}"/>
    <cellStyle name="Nota 17 2" xfId="3815" xr:uid="{00000000-0005-0000-0000-00009F0E0000}"/>
    <cellStyle name="Nota 17 2 2" xfId="3816" xr:uid="{00000000-0005-0000-0000-0000A00E0000}"/>
    <cellStyle name="Nota 17 3" xfId="3817" xr:uid="{00000000-0005-0000-0000-0000A10E0000}"/>
    <cellStyle name="Nota 18" xfId="3818" xr:uid="{00000000-0005-0000-0000-0000A20E0000}"/>
    <cellStyle name="Nota 18 2" xfId="3819" xr:uid="{00000000-0005-0000-0000-0000A30E0000}"/>
    <cellStyle name="Nota 18 2 2" xfId="3820" xr:uid="{00000000-0005-0000-0000-0000A40E0000}"/>
    <cellStyle name="Nota 18 3" xfId="3821" xr:uid="{00000000-0005-0000-0000-0000A50E0000}"/>
    <cellStyle name="Nota 19" xfId="3822" xr:uid="{00000000-0005-0000-0000-0000A60E0000}"/>
    <cellStyle name="Nota 19 2" xfId="3823" xr:uid="{00000000-0005-0000-0000-0000A70E0000}"/>
    <cellStyle name="Nota 19 2 2" xfId="3824" xr:uid="{00000000-0005-0000-0000-0000A80E0000}"/>
    <cellStyle name="Nota 19 3" xfId="3825" xr:uid="{00000000-0005-0000-0000-0000A90E0000}"/>
    <cellStyle name="Nota 2" xfId="3826" xr:uid="{00000000-0005-0000-0000-0000AA0E0000}"/>
    <cellStyle name="Nota 2 2" xfId="3827" xr:uid="{00000000-0005-0000-0000-0000AB0E0000}"/>
    <cellStyle name="Nota 2 2 2" xfId="3828" xr:uid="{00000000-0005-0000-0000-0000AC0E0000}"/>
    <cellStyle name="Nota 2 2 2 2" xfId="3829" xr:uid="{00000000-0005-0000-0000-0000AD0E0000}"/>
    <cellStyle name="Nota 2 2 3" xfId="3830" xr:uid="{00000000-0005-0000-0000-0000AE0E0000}"/>
    <cellStyle name="Nota 2 3" xfId="3831" xr:uid="{00000000-0005-0000-0000-0000AF0E0000}"/>
    <cellStyle name="Nota 20" xfId="3832" xr:uid="{00000000-0005-0000-0000-0000B00E0000}"/>
    <cellStyle name="Nota 20 2" xfId="3833" xr:uid="{00000000-0005-0000-0000-0000B10E0000}"/>
    <cellStyle name="Nota 20 2 2" xfId="3834" xr:uid="{00000000-0005-0000-0000-0000B20E0000}"/>
    <cellStyle name="Nota 20 3" xfId="3835" xr:uid="{00000000-0005-0000-0000-0000B30E0000}"/>
    <cellStyle name="Nota 21" xfId="3836" xr:uid="{00000000-0005-0000-0000-0000B40E0000}"/>
    <cellStyle name="Nota 21 2" xfId="3837" xr:uid="{00000000-0005-0000-0000-0000B50E0000}"/>
    <cellStyle name="Nota 21 2 2" xfId="3838" xr:uid="{00000000-0005-0000-0000-0000B60E0000}"/>
    <cellStyle name="Nota 21 3" xfId="3839" xr:uid="{00000000-0005-0000-0000-0000B70E0000}"/>
    <cellStyle name="Nota 22" xfId="3840" xr:uid="{00000000-0005-0000-0000-0000B80E0000}"/>
    <cellStyle name="Nota 22 2" xfId="3841" xr:uid="{00000000-0005-0000-0000-0000B90E0000}"/>
    <cellStyle name="Nota 22 2 2" xfId="3842" xr:uid="{00000000-0005-0000-0000-0000BA0E0000}"/>
    <cellStyle name="Nota 22 3" xfId="3843" xr:uid="{00000000-0005-0000-0000-0000BB0E0000}"/>
    <cellStyle name="Nota 23" xfId="3844" xr:uid="{00000000-0005-0000-0000-0000BC0E0000}"/>
    <cellStyle name="Nota 23 2" xfId="3845" xr:uid="{00000000-0005-0000-0000-0000BD0E0000}"/>
    <cellStyle name="Nota 23 2 2" xfId="3846" xr:uid="{00000000-0005-0000-0000-0000BE0E0000}"/>
    <cellStyle name="Nota 23 3" xfId="3847" xr:uid="{00000000-0005-0000-0000-0000BF0E0000}"/>
    <cellStyle name="Nota 24" xfId="3848" xr:uid="{00000000-0005-0000-0000-0000C00E0000}"/>
    <cellStyle name="Nota 24 2" xfId="3849" xr:uid="{00000000-0005-0000-0000-0000C10E0000}"/>
    <cellStyle name="Nota 24 2 2" xfId="3850" xr:uid="{00000000-0005-0000-0000-0000C20E0000}"/>
    <cellStyle name="Nota 24 3" xfId="3851" xr:uid="{00000000-0005-0000-0000-0000C30E0000}"/>
    <cellStyle name="Nota 25" xfId="3852" xr:uid="{00000000-0005-0000-0000-0000C40E0000}"/>
    <cellStyle name="Nota 25 2" xfId="3853" xr:uid="{00000000-0005-0000-0000-0000C50E0000}"/>
    <cellStyle name="Nota 25 2 2" xfId="3854" xr:uid="{00000000-0005-0000-0000-0000C60E0000}"/>
    <cellStyle name="Nota 25 3" xfId="3855" xr:uid="{00000000-0005-0000-0000-0000C70E0000}"/>
    <cellStyle name="Nota 26" xfId="3856" xr:uid="{00000000-0005-0000-0000-0000C80E0000}"/>
    <cellStyle name="Nota 26 2" xfId="3857" xr:uid="{00000000-0005-0000-0000-0000C90E0000}"/>
    <cellStyle name="Nota 26 2 2" xfId="3858" xr:uid="{00000000-0005-0000-0000-0000CA0E0000}"/>
    <cellStyle name="Nota 26 3" xfId="3859" xr:uid="{00000000-0005-0000-0000-0000CB0E0000}"/>
    <cellStyle name="Nota 27" xfId="3860" xr:uid="{00000000-0005-0000-0000-0000CC0E0000}"/>
    <cellStyle name="Nota 27 2" xfId="3861" xr:uid="{00000000-0005-0000-0000-0000CD0E0000}"/>
    <cellStyle name="Nota 27 2 2" xfId="3862" xr:uid="{00000000-0005-0000-0000-0000CE0E0000}"/>
    <cellStyle name="Nota 27 3" xfId="3863" xr:uid="{00000000-0005-0000-0000-0000CF0E0000}"/>
    <cellStyle name="Nota 28" xfId="3864" xr:uid="{00000000-0005-0000-0000-0000D00E0000}"/>
    <cellStyle name="Nota 28 2" xfId="3865" xr:uid="{00000000-0005-0000-0000-0000D10E0000}"/>
    <cellStyle name="Nota 28 2 2" xfId="3866" xr:uid="{00000000-0005-0000-0000-0000D20E0000}"/>
    <cellStyle name="Nota 28 3" xfId="3867" xr:uid="{00000000-0005-0000-0000-0000D30E0000}"/>
    <cellStyle name="Nota 29" xfId="3868" xr:uid="{00000000-0005-0000-0000-0000D40E0000}"/>
    <cellStyle name="Nota 29 2" xfId="3869" xr:uid="{00000000-0005-0000-0000-0000D50E0000}"/>
    <cellStyle name="Nota 29 2 2" xfId="3870" xr:uid="{00000000-0005-0000-0000-0000D60E0000}"/>
    <cellStyle name="Nota 29 3" xfId="3871" xr:uid="{00000000-0005-0000-0000-0000D70E0000}"/>
    <cellStyle name="Nota 3" xfId="3872" xr:uid="{00000000-0005-0000-0000-0000D80E0000}"/>
    <cellStyle name="Nota 3 2" xfId="3873" xr:uid="{00000000-0005-0000-0000-0000D90E0000}"/>
    <cellStyle name="Nota 3 2 2" xfId="3874" xr:uid="{00000000-0005-0000-0000-0000DA0E0000}"/>
    <cellStyle name="Nota 3 3" xfId="3875" xr:uid="{00000000-0005-0000-0000-0000DB0E0000}"/>
    <cellStyle name="Nota 30" xfId="3876" xr:uid="{00000000-0005-0000-0000-0000DC0E0000}"/>
    <cellStyle name="Nota 30 2" xfId="3877" xr:uid="{00000000-0005-0000-0000-0000DD0E0000}"/>
    <cellStyle name="Nota 30 2 2" xfId="3878" xr:uid="{00000000-0005-0000-0000-0000DE0E0000}"/>
    <cellStyle name="Nota 30 3" xfId="3879" xr:uid="{00000000-0005-0000-0000-0000DF0E0000}"/>
    <cellStyle name="Nota 31" xfId="3880" xr:uid="{00000000-0005-0000-0000-0000E00E0000}"/>
    <cellStyle name="Nota 31 2" xfId="3881" xr:uid="{00000000-0005-0000-0000-0000E10E0000}"/>
    <cellStyle name="Nota 31 2 2" xfId="3882" xr:uid="{00000000-0005-0000-0000-0000E20E0000}"/>
    <cellStyle name="Nota 31 3" xfId="3883" xr:uid="{00000000-0005-0000-0000-0000E30E0000}"/>
    <cellStyle name="Nota 32" xfId="3884" xr:uid="{00000000-0005-0000-0000-0000E40E0000}"/>
    <cellStyle name="Nota 32 2" xfId="3885" xr:uid="{00000000-0005-0000-0000-0000E50E0000}"/>
    <cellStyle name="Nota 32 2 2" xfId="3886" xr:uid="{00000000-0005-0000-0000-0000E60E0000}"/>
    <cellStyle name="Nota 32 3" xfId="3887" xr:uid="{00000000-0005-0000-0000-0000E70E0000}"/>
    <cellStyle name="Nota 33" xfId="3888" xr:uid="{00000000-0005-0000-0000-0000E80E0000}"/>
    <cellStyle name="Nota 33 2" xfId="3889" xr:uid="{00000000-0005-0000-0000-0000E90E0000}"/>
    <cellStyle name="Nota 33 2 2" xfId="3890" xr:uid="{00000000-0005-0000-0000-0000EA0E0000}"/>
    <cellStyle name="Nota 33 3" xfId="3891" xr:uid="{00000000-0005-0000-0000-0000EB0E0000}"/>
    <cellStyle name="Nota 34" xfId="3892" xr:uid="{00000000-0005-0000-0000-0000EC0E0000}"/>
    <cellStyle name="Nota 34 2" xfId="3893" xr:uid="{00000000-0005-0000-0000-0000ED0E0000}"/>
    <cellStyle name="Nota 34 2 2" xfId="3894" xr:uid="{00000000-0005-0000-0000-0000EE0E0000}"/>
    <cellStyle name="Nota 34 3" xfId="3895" xr:uid="{00000000-0005-0000-0000-0000EF0E0000}"/>
    <cellStyle name="Nota 35" xfId="3896" xr:uid="{00000000-0005-0000-0000-0000F00E0000}"/>
    <cellStyle name="Nota 35 2" xfId="3897" xr:uid="{00000000-0005-0000-0000-0000F10E0000}"/>
    <cellStyle name="Nota 35 2 2" xfId="3898" xr:uid="{00000000-0005-0000-0000-0000F20E0000}"/>
    <cellStyle name="Nota 35 3" xfId="3899" xr:uid="{00000000-0005-0000-0000-0000F30E0000}"/>
    <cellStyle name="Nota 36" xfId="3900" xr:uid="{00000000-0005-0000-0000-0000F40E0000}"/>
    <cellStyle name="Nota 36 2" xfId="3901" xr:uid="{00000000-0005-0000-0000-0000F50E0000}"/>
    <cellStyle name="Nota 36 2 2" xfId="3902" xr:uid="{00000000-0005-0000-0000-0000F60E0000}"/>
    <cellStyle name="Nota 36 3" xfId="3903" xr:uid="{00000000-0005-0000-0000-0000F70E0000}"/>
    <cellStyle name="Nota 37" xfId="3904" xr:uid="{00000000-0005-0000-0000-0000F80E0000}"/>
    <cellStyle name="Nota 37 2" xfId="3905" xr:uid="{00000000-0005-0000-0000-0000F90E0000}"/>
    <cellStyle name="Nota 37 2 2" xfId="3906" xr:uid="{00000000-0005-0000-0000-0000FA0E0000}"/>
    <cellStyle name="Nota 37 3" xfId="3907" xr:uid="{00000000-0005-0000-0000-0000FB0E0000}"/>
    <cellStyle name="Nota 4" xfId="3908" xr:uid="{00000000-0005-0000-0000-0000FC0E0000}"/>
    <cellStyle name="Nota 4 2" xfId="3909" xr:uid="{00000000-0005-0000-0000-0000FD0E0000}"/>
    <cellStyle name="Nota 4 2 2" xfId="3910" xr:uid="{00000000-0005-0000-0000-0000FE0E0000}"/>
    <cellStyle name="Nota 4 3" xfId="3911" xr:uid="{00000000-0005-0000-0000-0000FF0E0000}"/>
    <cellStyle name="Nota 5" xfId="3912" xr:uid="{00000000-0005-0000-0000-0000000F0000}"/>
    <cellStyle name="Nota 5 2" xfId="3913" xr:uid="{00000000-0005-0000-0000-0000010F0000}"/>
    <cellStyle name="Nota 5 2 2" xfId="3914" xr:uid="{00000000-0005-0000-0000-0000020F0000}"/>
    <cellStyle name="Nota 5 3" xfId="3915" xr:uid="{00000000-0005-0000-0000-0000030F0000}"/>
    <cellStyle name="Nota 6" xfId="3916" xr:uid="{00000000-0005-0000-0000-0000040F0000}"/>
    <cellStyle name="Nota 6 2" xfId="3917" xr:uid="{00000000-0005-0000-0000-0000050F0000}"/>
    <cellStyle name="Nota 6 2 2" xfId="3918" xr:uid="{00000000-0005-0000-0000-0000060F0000}"/>
    <cellStyle name="Nota 6 3" xfId="3919" xr:uid="{00000000-0005-0000-0000-0000070F0000}"/>
    <cellStyle name="Nota 7" xfId="3920" xr:uid="{00000000-0005-0000-0000-0000080F0000}"/>
    <cellStyle name="Nota 7 2" xfId="3921" xr:uid="{00000000-0005-0000-0000-0000090F0000}"/>
    <cellStyle name="Nota 7 2 2" xfId="3922" xr:uid="{00000000-0005-0000-0000-00000A0F0000}"/>
    <cellStyle name="Nota 7 3" xfId="3923" xr:uid="{00000000-0005-0000-0000-00000B0F0000}"/>
    <cellStyle name="Nota 8" xfId="3924" xr:uid="{00000000-0005-0000-0000-00000C0F0000}"/>
    <cellStyle name="Nota 8 2" xfId="3925" xr:uid="{00000000-0005-0000-0000-00000D0F0000}"/>
    <cellStyle name="Nota 8 2 2" xfId="3926" xr:uid="{00000000-0005-0000-0000-00000E0F0000}"/>
    <cellStyle name="Nota 8 3" xfId="3927" xr:uid="{00000000-0005-0000-0000-00000F0F0000}"/>
    <cellStyle name="Nota 9" xfId="3928" xr:uid="{00000000-0005-0000-0000-0000100F0000}"/>
    <cellStyle name="Nota 9 2" xfId="3929" xr:uid="{00000000-0005-0000-0000-0000110F0000}"/>
    <cellStyle name="Nota 9 2 2" xfId="3930" xr:uid="{00000000-0005-0000-0000-0000120F0000}"/>
    <cellStyle name="Nota 9 3" xfId="3931" xr:uid="{00000000-0005-0000-0000-0000130F0000}"/>
    <cellStyle name="Note" xfId="85" xr:uid="{00000000-0005-0000-0000-0000140F0000}"/>
    <cellStyle name="Output" xfId="86" xr:uid="{00000000-0005-0000-0000-0000150F0000}"/>
    <cellStyle name="Porcentagem" xfId="5044" builtinId="5"/>
    <cellStyle name="Porcentagem 2" xfId="22" xr:uid="{00000000-0005-0000-0000-0000170F0000}"/>
    <cellStyle name="Porcentagem 2 2" xfId="23" xr:uid="{00000000-0005-0000-0000-0000180F0000}"/>
    <cellStyle name="Porcentagem 2 2 2" xfId="24" xr:uid="{00000000-0005-0000-0000-0000190F0000}"/>
    <cellStyle name="Porcentagem 2 3" xfId="25" xr:uid="{00000000-0005-0000-0000-00001A0F0000}"/>
    <cellStyle name="Porcentagem 2 3 2" xfId="169" xr:uid="{00000000-0005-0000-0000-00001B0F0000}"/>
    <cellStyle name="Porcentagem 2 4" xfId="26" xr:uid="{00000000-0005-0000-0000-00001C0F0000}"/>
    <cellStyle name="Porcentagem 2 4 2" xfId="170" xr:uid="{00000000-0005-0000-0000-00001D0F0000}"/>
    <cellStyle name="Porcentagem 5" xfId="5043" xr:uid="{00000000-0005-0000-0000-00001E0F0000}"/>
    <cellStyle name="Saída 10" xfId="3932" xr:uid="{00000000-0005-0000-0000-00001F0F0000}"/>
    <cellStyle name="Saída 10 2" xfId="3933" xr:uid="{00000000-0005-0000-0000-0000200F0000}"/>
    <cellStyle name="Saída 10 2 2" xfId="3934" xr:uid="{00000000-0005-0000-0000-0000210F0000}"/>
    <cellStyle name="Saída 10 3" xfId="3935" xr:uid="{00000000-0005-0000-0000-0000220F0000}"/>
    <cellStyle name="Saída 11" xfId="3936" xr:uid="{00000000-0005-0000-0000-0000230F0000}"/>
    <cellStyle name="Saída 11 2" xfId="3937" xr:uid="{00000000-0005-0000-0000-0000240F0000}"/>
    <cellStyle name="Saída 11 2 2" xfId="3938" xr:uid="{00000000-0005-0000-0000-0000250F0000}"/>
    <cellStyle name="Saída 11 3" xfId="3939" xr:uid="{00000000-0005-0000-0000-0000260F0000}"/>
    <cellStyle name="Saída 12" xfId="3940" xr:uid="{00000000-0005-0000-0000-0000270F0000}"/>
    <cellStyle name="Saída 12 2" xfId="3941" xr:uid="{00000000-0005-0000-0000-0000280F0000}"/>
    <cellStyle name="Saída 12 2 2" xfId="3942" xr:uid="{00000000-0005-0000-0000-0000290F0000}"/>
    <cellStyle name="Saída 12 3" xfId="3943" xr:uid="{00000000-0005-0000-0000-00002A0F0000}"/>
    <cellStyle name="Saída 13" xfId="3944" xr:uid="{00000000-0005-0000-0000-00002B0F0000}"/>
    <cellStyle name="Saída 13 2" xfId="3945" xr:uid="{00000000-0005-0000-0000-00002C0F0000}"/>
    <cellStyle name="Saída 13 2 2" xfId="3946" xr:uid="{00000000-0005-0000-0000-00002D0F0000}"/>
    <cellStyle name="Saída 13 3" xfId="3947" xr:uid="{00000000-0005-0000-0000-00002E0F0000}"/>
    <cellStyle name="Saída 14" xfId="3948" xr:uid="{00000000-0005-0000-0000-00002F0F0000}"/>
    <cellStyle name="Saída 14 2" xfId="3949" xr:uid="{00000000-0005-0000-0000-0000300F0000}"/>
    <cellStyle name="Saída 14 2 2" xfId="3950" xr:uid="{00000000-0005-0000-0000-0000310F0000}"/>
    <cellStyle name="Saída 14 3" xfId="3951" xr:uid="{00000000-0005-0000-0000-0000320F0000}"/>
    <cellStyle name="Saída 15" xfId="3952" xr:uid="{00000000-0005-0000-0000-0000330F0000}"/>
    <cellStyle name="Saída 15 2" xfId="3953" xr:uid="{00000000-0005-0000-0000-0000340F0000}"/>
    <cellStyle name="Saída 15 2 2" xfId="3954" xr:uid="{00000000-0005-0000-0000-0000350F0000}"/>
    <cellStyle name="Saída 15 3" xfId="3955" xr:uid="{00000000-0005-0000-0000-0000360F0000}"/>
    <cellStyle name="Saída 16" xfId="3956" xr:uid="{00000000-0005-0000-0000-0000370F0000}"/>
    <cellStyle name="Saída 16 2" xfId="3957" xr:uid="{00000000-0005-0000-0000-0000380F0000}"/>
    <cellStyle name="Saída 16 2 2" xfId="3958" xr:uid="{00000000-0005-0000-0000-0000390F0000}"/>
    <cellStyle name="Saída 16 3" xfId="3959" xr:uid="{00000000-0005-0000-0000-00003A0F0000}"/>
    <cellStyle name="Saída 17" xfId="3960" xr:uid="{00000000-0005-0000-0000-00003B0F0000}"/>
    <cellStyle name="Saída 17 2" xfId="3961" xr:uid="{00000000-0005-0000-0000-00003C0F0000}"/>
    <cellStyle name="Saída 17 2 2" xfId="3962" xr:uid="{00000000-0005-0000-0000-00003D0F0000}"/>
    <cellStyle name="Saída 17 3" xfId="3963" xr:uid="{00000000-0005-0000-0000-00003E0F0000}"/>
    <cellStyle name="Saída 18" xfId="3964" xr:uid="{00000000-0005-0000-0000-00003F0F0000}"/>
    <cellStyle name="Saída 18 2" xfId="3965" xr:uid="{00000000-0005-0000-0000-0000400F0000}"/>
    <cellStyle name="Saída 18 2 2" xfId="3966" xr:uid="{00000000-0005-0000-0000-0000410F0000}"/>
    <cellStyle name="Saída 18 3" xfId="3967" xr:uid="{00000000-0005-0000-0000-0000420F0000}"/>
    <cellStyle name="Saída 19" xfId="3968" xr:uid="{00000000-0005-0000-0000-0000430F0000}"/>
    <cellStyle name="Saída 19 2" xfId="3969" xr:uid="{00000000-0005-0000-0000-0000440F0000}"/>
    <cellStyle name="Saída 19 2 2" xfId="3970" xr:uid="{00000000-0005-0000-0000-0000450F0000}"/>
    <cellStyle name="Saída 19 3" xfId="3971" xr:uid="{00000000-0005-0000-0000-0000460F0000}"/>
    <cellStyle name="Saída 2" xfId="3972" xr:uid="{00000000-0005-0000-0000-0000470F0000}"/>
    <cellStyle name="Saída 2 2" xfId="3973" xr:uid="{00000000-0005-0000-0000-0000480F0000}"/>
    <cellStyle name="Saída 2 2 2" xfId="3974" xr:uid="{00000000-0005-0000-0000-0000490F0000}"/>
    <cellStyle name="Saída 2 2 2 2" xfId="3975" xr:uid="{00000000-0005-0000-0000-00004A0F0000}"/>
    <cellStyle name="Saída 2 2 3" xfId="3976" xr:uid="{00000000-0005-0000-0000-00004B0F0000}"/>
    <cellStyle name="Saída 2 3" xfId="3977" xr:uid="{00000000-0005-0000-0000-00004C0F0000}"/>
    <cellStyle name="Saída 20" xfId="3978" xr:uid="{00000000-0005-0000-0000-00004D0F0000}"/>
    <cellStyle name="Saída 20 2" xfId="3979" xr:uid="{00000000-0005-0000-0000-00004E0F0000}"/>
    <cellStyle name="Saída 20 2 2" xfId="3980" xr:uid="{00000000-0005-0000-0000-00004F0F0000}"/>
    <cellStyle name="Saída 20 3" xfId="3981" xr:uid="{00000000-0005-0000-0000-0000500F0000}"/>
    <cellStyle name="Saída 21" xfId="3982" xr:uid="{00000000-0005-0000-0000-0000510F0000}"/>
    <cellStyle name="Saída 21 2" xfId="3983" xr:uid="{00000000-0005-0000-0000-0000520F0000}"/>
    <cellStyle name="Saída 21 2 2" xfId="3984" xr:uid="{00000000-0005-0000-0000-0000530F0000}"/>
    <cellStyle name="Saída 21 3" xfId="3985" xr:uid="{00000000-0005-0000-0000-0000540F0000}"/>
    <cellStyle name="Saída 22" xfId="3986" xr:uid="{00000000-0005-0000-0000-0000550F0000}"/>
    <cellStyle name="Saída 22 2" xfId="3987" xr:uid="{00000000-0005-0000-0000-0000560F0000}"/>
    <cellStyle name="Saída 22 2 2" xfId="3988" xr:uid="{00000000-0005-0000-0000-0000570F0000}"/>
    <cellStyle name="Saída 22 3" xfId="3989" xr:uid="{00000000-0005-0000-0000-0000580F0000}"/>
    <cellStyle name="Saída 23" xfId="3990" xr:uid="{00000000-0005-0000-0000-0000590F0000}"/>
    <cellStyle name="Saída 23 2" xfId="3991" xr:uid="{00000000-0005-0000-0000-00005A0F0000}"/>
    <cellStyle name="Saída 23 2 2" xfId="3992" xr:uid="{00000000-0005-0000-0000-00005B0F0000}"/>
    <cellStyle name="Saída 23 3" xfId="3993" xr:uid="{00000000-0005-0000-0000-00005C0F0000}"/>
    <cellStyle name="Saída 24" xfId="3994" xr:uid="{00000000-0005-0000-0000-00005D0F0000}"/>
    <cellStyle name="Saída 24 2" xfId="3995" xr:uid="{00000000-0005-0000-0000-00005E0F0000}"/>
    <cellStyle name="Saída 24 2 2" xfId="3996" xr:uid="{00000000-0005-0000-0000-00005F0F0000}"/>
    <cellStyle name="Saída 24 3" xfId="3997" xr:uid="{00000000-0005-0000-0000-0000600F0000}"/>
    <cellStyle name="Saída 25" xfId="3998" xr:uid="{00000000-0005-0000-0000-0000610F0000}"/>
    <cellStyle name="Saída 25 2" xfId="3999" xr:uid="{00000000-0005-0000-0000-0000620F0000}"/>
    <cellStyle name="Saída 25 2 2" xfId="4000" xr:uid="{00000000-0005-0000-0000-0000630F0000}"/>
    <cellStyle name="Saída 25 3" xfId="4001" xr:uid="{00000000-0005-0000-0000-0000640F0000}"/>
    <cellStyle name="Saída 26" xfId="4002" xr:uid="{00000000-0005-0000-0000-0000650F0000}"/>
    <cellStyle name="Saída 26 2" xfId="4003" xr:uid="{00000000-0005-0000-0000-0000660F0000}"/>
    <cellStyle name="Saída 26 2 2" xfId="4004" xr:uid="{00000000-0005-0000-0000-0000670F0000}"/>
    <cellStyle name="Saída 26 3" xfId="4005" xr:uid="{00000000-0005-0000-0000-0000680F0000}"/>
    <cellStyle name="Saída 27" xfId="4006" xr:uid="{00000000-0005-0000-0000-0000690F0000}"/>
    <cellStyle name="Saída 27 2" xfId="4007" xr:uid="{00000000-0005-0000-0000-00006A0F0000}"/>
    <cellStyle name="Saída 27 2 2" xfId="4008" xr:uid="{00000000-0005-0000-0000-00006B0F0000}"/>
    <cellStyle name="Saída 27 3" xfId="4009" xr:uid="{00000000-0005-0000-0000-00006C0F0000}"/>
    <cellStyle name="Saída 28" xfId="4010" xr:uid="{00000000-0005-0000-0000-00006D0F0000}"/>
    <cellStyle name="Saída 28 2" xfId="4011" xr:uid="{00000000-0005-0000-0000-00006E0F0000}"/>
    <cellStyle name="Saída 28 2 2" xfId="4012" xr:uid="{00000000-0005-0000-0000-00006F0F0000}"/>
    <cellStyle name="Saída 28 3" xfId="4013" xr:uid="{00000000-0005-0000-0000-0000700F0000}"/>
    <cellStyle name="Saída 29" xfId="4014" xr:uid="{00000000-0005-0000-0000-0000710F0000}"/>
    <cellStyle name="Saída 29 2" xfId="4015" xr:uid="{00000000-0005-0000-0000-0000720F0000}"/>
    <cellStyle name="Saída 29 2 2" xfId="4016" xr:uid="{00000000-0005-0000-0000-0000730F0000}"/>
    <cellStyle name="Saída 29 3" xfId="4017" xr:uid="{00000000-0005-0000-0000-0000740F0000}"/>
    <cellStyle name="Saída 3" xfId="4018" xr:uid="{00000000-0005-0000-0000-0000750F0000}"/>
    <cellStyle name="Saída 3 2" xfId="4019" xr:uid="{00000000-0005-0000-0000-0000760F0000}"/>
    <cellStyle name="Saída 3 2 2" xfId="4020" xr:uid="{00000000-0005-0000-0000-0000770F0000}"/>
    <cellStyle name="Saída 3 3" xfId="4021" xr:uid="{00000000-0005-0000-0000-0000780F0000}"/>
    <cellStyle name="Saída 30" xfId="4022" xr:uid="{00000000-0005-0000-0000-0000790F0000}"/>
    <cellStyle name="Saída 30 2" xfId="4023" xr:uid="{00000000-0005-0000-0000-00007A0F0000}"/>
    <cellStyle name="Saída 30 2 2" xfId="4024" xr:uid="{00000000-0005-0000-0000-00007B0F0000}"/>
    <cellStyle name="Saída 30 3" xfId="4025" xr:uid="{00000000-0005-0000-0000-00007C0F0000}"/>
    <cellStyle name="Saída 31" xfId="4026" xr:uid="{00000000-0005-0000-0000-00007D0F0000}"/>
    <cellStyle name="Saída 31 2" xfId="4027" xr:uid="{00000000-0005-0000-0000-00007E0F0000}"/>
    <cellStyle name="Saída 31 2 2" xfId="4028" xr:uid="{00000000-0005-0000-0000-00007F0F0000}"/>
    <cellStyle name="Saída 31 3" xfId="4029" xr:uid="{00000000-0005-0000-0000-0000800F0000}"/>
    <cellStyle name="Saída 32" xfId="4030" xr:uid="{00000000-0005-0000-0000-0000810F0000}"/>
    <cellStyle name="Saída 32 2" xfId="4031" xr:uid="{00000000-0005-0000-0000-0000820F0000}"/>
    <cellStyle name="Saída 32 2 2" xfId="4032" xr:uid="{00000000-0005-0000-0000-0000830F0000}"/>
    <cellStyle name="Saída 32 3" xfId="4033" xr:uid="{00000000-0005-0000-0000-0000840F0000}"/>
    <cellStyle name="Saída 33" xfId="4034" xr:uid="{00000000-0005-0000-0000-0000850F0000}"/>
    <cellStyle name="Saída 33 2" xfId="4035" xr:uid="{00000000-0005-0000-0000-0000860F0000}"/>
    <cellStyle name="Saída 33 2 2" xfId="4036" xr:uid="{00000000-0005-0000-0000-0000870F0000}"/>
    <cellStyle name="Saída 33 3" xfId="4037" xr:uid="{00000000-0005-0000-0000-0000880F0000}"/>
    <cellStyle name="Saída 34" xfId="4038" xr:uid="{00000000-0005-0000-0000-0000890F0000}"/>
    <cellStyle name="Saída 34 2" xfId="4039" xr:uid="{00000000-0005-0000-0000-00008A0F0000}"/>
    <cellStyle name="Saída 34 2 2" xfId="4040" xr:uid="{00000000-0005-0000-0000-00008B0F0000}"/>
    <cellStyle name="Saída 34 3" xfId="4041" xr:uid="{00000000-0005-0000-0000-00008C0F0000}"/>
    <cellStyle name="Saída 35" xfId="4042" xr:uid="{00000000-0005-0000-0000-00008D0F0000}"/>
    <cellStyle name="Saída 35 2" xfId="4043" xr:uid="{00000000-0005-0000-0000-00008E0F0000}"/>
    <cellStyle name="Saída 35 2 2" xfId="4044" xr:uid="{00000000-0005-0000-0000-00008F0F0000}"/>
    <cellStyle name="Saída 35 3" xfId="4045" xr:uid="{00000000-0005-0000-0000-0000900F0000}"/>
    <cellStyle name="Saída 36" xfId="4046" xr:uid="{00000000-0005-0000-0000-0000910F0000}"/>
    <cellStyle name="Saída 36 2" xfId="4047" xr:uid="{00000000-0005-0000-0000-0000920F0000}"/>
    <cellStyle name="Saída 36 2 2" xfId="4048" xr:uid="{00000000-0005-0000-0000-0000930F0000}"/>
    <cellStyle name="Saída 36 3" xfId="4049" xr:uid="{00000000-0005-0000-0000-0000940F0000}"/>
    <cellStyle name="Saída 37" xfId="4050" xr:uid="{00000000-0005-0000-0000-0000950F0000}"/>
    <cellStyle name="Saída 37 2" xfId="4051" xr:uid="{00000000-0005-0000-0000-0000960F0000}"/>
    <cellStyle name="Saída 37 2 2" xfId="4052" xr:uid="{00000000-0005-0000-0000-0000970F0000}"/>
    <cellStyle name="Saída 37 3" xfId="4053" xr:uid="{00000000-0005-0000-0000-0000980F0000}"/>
    <cellStyle name="Saída 4" xfId="4054" xr:uid="{00000000-0005-0000-0000-0000990F0000}"/>
    <cellStyle name="Saída 4 2" xfId="4055" xr:uid="{00000000-0005-0000-0000-00009A0F0000}"/>
    <cellStyle name="Saída 4 2 2" xfId="4056" xr:uid="{00000000-0005-0000-0000-00009B0F0000}"/>
    <cellStyle name="Saída 4 3" xfId="4057" xr:uid="{00000000-0005-0000-0000-00009C0F0000}"/>
    <cellStyle name="Saída 5" xfId="4058" xr:uid="{00000000-0005-0000-0000-00009D0F0000}"/>
    <cellStyle name="Saída 5 2" xfId="4059" xr:uid="{00000000-0005-0000-0000-00009E0F0000}"/>
    <cellStyle name="Saída 5 2 2" xfId="4060" xr:uid="{00000000-0005-0000-0000-00009F0F0000}"/>
    <cellStyle name="Saída 5 3" xfId="4061" xr:uid="{00000000-0005-0000-0000-0000A00F0000}"/>
    <cellStyle name="Saída 6" xfId="4062" xr:uid="{00000000-0005-0000-0000-0000A10F0000}"/>
    <cellStyle name="Saída 6 2" xfId="4063" xr:uid="{00000000-0005-0000-0000-0000A20F0000}"/>
    <cellStyle name="Saída 6 2 2" xfId="4064" xr:uid="{00000000-0005-0000-0000-0000A30F0000}"/>
    <cellStyle name="Saída 6 3" xfId="4065" xr:uid="{00000000-0005-0000-0000-0000A40F0000}"/>
    <cellStyle name="Saída 7" xfId="4066" xr:uid="{00000000-0005-0000-0000-0000A50F0000}"/>
    <cellStyle name="Saída 7 2" xfId="4067" xr:uid="{00000000-0005-0000-0000-0000A60F0000}"/>
    <cellStyle name="Saída 7 2 2" xfId="4068" xr:uid="{00000000-0005-0000-0000-0000A70F0000}"/>
    <cellStyle name="Saída 7 3" xfId="4069" xr:uid="{00000000-0005-0000-0000-0000A80F0000}"/>
    <cellStyle name="Saída 8" xfId="4070" xr:uid="{00000000-0005-0000-0000-0000A90F0000}"/>
    <cellStyle name="Saída 8 2" xfId="4071" xr:uid="{00000000-0005-0000-0000-0000AA0F0000}"/>
    <cellStyle name="Saída 8 2 2" xfId="4072" xr:uid="{00000000-0005-0000-0000-0000AB0F0000}"/>
    <cellStyle name="Saída 8 3" xfId="4073" xr:uid="{00000000-0005-0000-0000-0000AC0F0000}"/>
    <cellStyle name="Saída 9" xfId="4074" xr:uid="{00000000-0005-0000-0000-0000AD0F0000}"/>
    <cellStyle name="Saída 9 2" xfId="4075" xr:uid="{00000000-0005-0000-0000-0000AE0F0000}"/>
    <cellStyle name="Saída 9 2 2" xfId="4076" xr:uid="{00000000-0005-0000-0000-0000AF0F0000}"/>
    <cellStyle name="Saída 9 3" xfId="4077" xr:uid="{00000000-0005-0000-0000-0000B00F0000}"/>
    <cellStyle name="Sep. milhar [0]" xfId="27" xr:uid="{00000000-0005-0000-0000-0000B10F0000}"/>
    <cellStyle name="Separador de milhares 10 2" xfId="4078" xr:uid="{00000000-0005-0000-0000-0000B20F0000}"/>
    <cellStyle name="Separador de milhares 11 2" xfId="4079" xr:uid="{00000000-0005-0000-0000-0000B30F0000}"/>
    <cellStyle name="Separador de milhares 12 2" xfId="4080" xr:uid="{00000000-0005-0000-0000-0000B40F0000}"/>
    <cellStyle name="Separador de milhares 13 2" xfId="4081" xr:uid="{00000000-0005-0000-0000-0000B50F0000}"/>
    <cellStyle name="Separador de milhares 14 2" xfId="4082" xr:uid="{00000000-0005-0000-0000-0000B60F0000}"/>
    <cellStyle name="Separador de milhares 15 2" xfId="4083" xr:uid="{00000000-0005-0000-0000-0000B70F0000}"/>
    <cellStyle name="Separador de milhares 16 2" xfId="4084" xr:uid="{00000000-0005-0000-0000-0000B80F0000}"/>
    <cellStyle name="Separador de milhares 16 3" xfId="4085" xr:uid="{00000000-0005-0000-0000-0000B90F0000}"/>
    <cellStyle name="Separador de milhares 17 2" xfId="4086" xr:uid="{00000000-0005-0000-0000-0000BA0F0000}"/>
    <cellStyle name="Separador de milhares 17 3" xfId="4087" xr:uid="{00000000-0005-0000-0000-0000BB0F0000}"/>
    <cellStyle name="Separador de milhares 18 2" xfId="4088" xr:uid="{00000000-0005-0000-0000-0000BC0F0000}"/>
    <cellStyle name="Separador de milhares 18 3" xfId="4089" xr:uid="{00000000-0005-0000-0000-0000BD0F0000}"/>
    <cellStyle name="Separador de milhares 19 2" xfId="4090" xr:uid="{00000000-0005-0000-0000-0000BE0F0000}"/>
    <cellStyle name="Separador de milhares 19 3" xfId="4091" xr:uid="{00000000-0005-0000-0000-0000BF0F0000}"/>
    <cellStyle name="Separador de milhares 2" xfId="4092" xr:uid="{00000000-0005-0000-0000-0000C00F0000}"/>
    <cellStyle name="Separador de milhares 2 2" xfId="28" xr:uid="{00000000-0005-0000-0000-0000C10F0000}"/>
    <cellStyle name="Separador de milhares 2 2 2" xfId="29" xr:uid="{00000000-0005-0000-0000-0000C20F0000}"/>
    <cellStyle name="Separador de milhares 2 2 3" xfId="30" xr:uid="{00000000-0005-0000-0000-0000C30F0000}"/>
    <cellStyle name="Separador de milhares 2 2 4" xfId="31" xr:uid="{00000000-0005-0000-0000-0000C40F0000}"/>
    <cellStyle name="Separador de milhares 2 3" xfId="32" xr:uid="{00000000-0005-0000-0000-0000C50F0000}"/>
    <cellStyle name="Separador de milhares 2 4" xfId="33" xr:uid="{00000000-0005-0000-0000-0000C60F0000}"/>
    <cellStyle name="Separador de milhares 2 4 2" xfId="171" xr:uid="{00000000-0005-0000-0000-0000C70F0000}"/>
    <cellStyle name="Separador de milhares 2 5" xfId="34" xr:uid="{00000000-0005-0000-0000-0000C80F0000}"/>
    <cellStyle name="Separador de milhares 2 5 2" xfId="172" xr:uid="{00000000-0005-0000-0000-0000C90F0000}"/>
    <cellStyle name="Separador de milhares 20 2" xfId="4093" xr:uid="{00000000-0005-0000-0000-0000CA0F0000}"/>
    <cellStyle name="Separador de milhares 20 3" xfId="4094" xr:uid="{00000000-0005-0000-0000-0000CB0F0000}"/>
    <cellStyle name="Separador de milhares 21 2" xfId="4095" xr:uid="{00000000-0005-0000-0000-0000CC0F0000}"/>
    <cellStyle name="Separador de milhares 21 3" xfId="4096" xr:uid="{00000000-0005-0000-0000-0000CD0F0000}"/>
    <cellStyle name="Separador de milhares 22 2" xfId="4097" xr:uid="{00000000-0005-0000-0000-0000CE0F0000}"/>
    <cellStyle name="Separador de milhares 22 3" xfId="4098" xr:uid="{00000000-0005-0000-0000-0000CF0F0000}"/>
    <cellStyle name="Separador de milhares 23 2" xfId="4099" xr:uid="{00000000-0005-0000-0000-0000D00F0000}"/>
    <cellStyle name="Separador de milhares 23 3" xfId="4100" xr:uid="{00000000-0005-0000-0000-0000D10F0000}"/>
    <cellStyle name="Separador de milhares 24 2" xfId="4101" xr:uid="{00000000-0005-0000-0000-0000D20F0000}"/>
    <cellStyle name="Separador de milhares 24 3" xfId="4102" xr:uid="{00000000-0005-0000-0000-0000D30F0000}"/>
    <cellStyle name="Separador de milhares 25 2" xfId="4103" xr:uid="{00000000-0005-0000-0000-0000D40F0000}"/>
    <cellStyle name="Separador de milhares 25 3" xfId="4104" xr:uid="{00000000-0005-0000-0000-0000D50F0000}"/>
    <cellStyle name="Separador de milhares 26 2" xfId="4105" xr:uid="{00000000-0005-0000-0000-0000D60F0000}"/>
    <cellStyle name="Separador de milhares 26 3" xfId="4106" xr:uid="{00000000-0005-0000-0000-0000D70F0000}"/>
    <cellStyle name="Separador de milhares 27 2" xfId="4107" xr:uid="{00000000-0005-0000-0000-0000D80F0000}"/>
    <cellStyle name="Separador de milhares 27 3" xfId="4108" xr:uid="{00000000-0005-0000-0000-0000D90F0000}"/>
    <cellStyle name="Separador de milhares 28 2" xfId="4109" xr:uid="{00000000-0005-0000-0000-0000DA0F0000}"/>
    <cellStyle name="Separador de milhares 28 3" xfId="4110" xr:uid="{00000000-0005-0000-0000-0000DB0F0000}"/>
    <cellStyle name="Separador de milhares 29 2" xfId="4111" xr:uid="{00000000-0005-0000-0000-0000DC0F0000}"/>
    <cellStyle name="Separador de milhares 29 3" xfId="4112" xr:uid="{00000000-0005-0000-0000-0000DD0F0000}"/>
    <cellStyle name="Separador de milhares 3" xfId="35" xr:uid="{00000000-0005-0000-0000-0000DE0F0000}"/>
    <cellStyle name="Separador de milhares 3 10" xfId="125" xr:uid="{00000000-0005-0000-0000-0000DF0F0000}"/>
    <cellStyle name="Separador de milhares 3 11" xfId="129" xr:uid="{00000000-0005-0000-0000-0000E00F0000}"/>
    <cellStyle name="Separador de milhares 3 12" xfId="133" xr:uid="{00000000-0005-0000-0000-0000E10F0000}"/>
    <cellStyle name="Separador de milhares 3 13" xfId="137" xr:uid="{00000000-0005-0000-0000-0000E20F0000}"/>
    <cellStyle name="Separador de milhares 3 14" xfId="141" xr:uid="{00000000-0005-0000-0000-0000E30F0000}"/>
    <cellStyle name="Separador de milhares 3 15" xfId="145" xr:uid="{00000000-0005-0000-0000-0000E40F0000}"/>
    <cellStyle name="Separador de milhares 3 16" xfId="149" xr:uid="{00000000-0005-0000-0000-0000E50F0000}"/>
    <cellStyle name="Separador de milhares 3 17" xfId="153" xr:uid="{00000000-0005-0000-0000-0000E60F0000}"/>
    <cellStyle name="Separador de milhares 3 18" xfId="157" xr:uid="{00000000-0005-0000-0000-0000E70F0000}"/>
    <cellStyle name="Separador de milhares 3 19" xfId="173" xr:uid="{00000000-0005-0000-0000-0000E80F0000}"/>
    <cellStyle name="Separador de milhares 3 2" xfId="93" xr:uid="{00000000-0005-0000-0000-0000E90F0000}"/>
    <cellStyle name="Separador de milhares 3 3" xfId="97" xr:uid="{00000000-0005-0000-0000-0000EA0F0000}"/>
    <cellStyle name="Separador de milhares 3 4" xfId="101" xr:uid="{00000000-0005-0000-0000-0000EB0F0000}"/>
    <cellStyle name="Separador de milhares 3 5" xfId="105" xr:uid="{00000000-0005-0000-0000-0000EC0F0000}"/>
    <cellStyle name="Separador de milhares 3 6" xfId="109" xr:uid="{00000000-0005-0000-0000-0000ED0F0000}"/>
    <cellStyle name="Separador de milhares 3 7" xfId="113" xr:uid="{00000000-0005-0000-0000-0000EE0F0000}"/>
    <cellStyle name="Separador de milhares 3 8" xfId="117" xr:uid="{00000000-0005-0000-0000-0000EF0F0000}"/>
    <cellStyle name="Separador de milhares 3 9" xfId="121" xr:uid="{00000000-0005-0000-0000-0000F00F0000}"/>
    <cellStyle name="Separador de milhares 30 2" xfId="4113" xr:uid="{00000000-0005-0000-0000-0000F10F0000}"/>
    <cellStyle name="Separador de milhares 30 3" xfId="4114" xr:uid="{00000000-0005-0000-0000-0000F20F0000}"/>
    <cellStyle name="Separador de milhares 31 2" xfId="4115" xr:uid="{00000000-0005-0000-0000-0000F30F0000}"/>
    <cellStyle name="Separador de milhares 31 3" xfId="4116" xr:uid="{00000000-0005-0000-0000-0000F40F0000}"/>
    <cellStyle name="Separador de milhares 32 2" xfId="4117" xr:uid="{00000000-0005-0000-0000-0000F50F0000}"/>
    <cellStyle name="Separador de milhares 32 3" xfId="4118" xr:uid="{00000000-0005-0000-0000-0000F60F0000}"/>
    <cellStyle name="Separador de milhares 33 2" xfId="4119" xr:uid="{00000000-0005-0000-0000-0000F70F0000}"/>
    <cellStyle name="Separador de milhares 33 3" xfId="4120" xr:uid="{00000000-0005-0000-0000-0000F80F0000}"/>
    <cellStyle name="Separador de milhares 34 2" xfId="4121" xr:uid="{00000000-0005-0000-0000-0000F90F0000}"/>
    <cellStyle name="Separador de milhares 34 3" xfId="4122" xr:uid="{00000000-0005-0000-0000-0000FA0F0000}"/>
    <cellStyle name="Separador de milhares 35 2" xfId="4123" xr:uid="{00000000-0005-0000-0000-0000FB0F0000}"/>
    <cellStyle name="Separador de milhares 35 3" xfId="4124" xr:uid="{00000000-0005-0000-0000-0000FC0F0000}"/>
    <cellStyle name="Separador de milhares 36 2" xfId="4125" xr:uid="{00000000-0005-0000-0000-0000FD0F0000}"/>
    <cellStyle name="Separador de milhares 36 3" xfId="4126" xr:uid="{00000000-0005-0000-0000-0000FE0F0000}"/>
    <cellStyle name="Separador de milhares 37 2" xfId="4127" xr:uid="{00000000-0005-0000-0000-0000FF0F0000}"/>
    <cellStyle name="Separador de milhares 37 3" xfId="4128" xr:uid="{00000000-0005-0000-0000-000000100000}"/>
    <cellStyle name="Separador de milhares 38 2" xfId="4129" xr:uid="{00000000-0005-0000-0000-000001100000}"/>
    <cellStyle name="Separador de milhares 38 3" xfId="4130" xr:uid="{00000000-0005-0000-0000-000002100000}"/>
    <cellStyle name="Separador de milhares 39 2" xfId="4131" xr:uid="{00000000-0005-0000-0000-000003100000}"/>
    <cellStyle name="Separador de milhares 39 3" xfId="4132" xr:uid="{00000000-0005-0000-0000-000004100000}"/>
    <cellStyle name="Separador de milhares 4" xfId="36" xr:uid="{00000000-0005-0000-0000-000005100000}"/>
    <cellStyle name="Separador de milhares 4 2" xfId="174" xr:uid="{00000000-0005-0000-0000-000006100000}"/>
    <cellStyle name="Separador de milhares 4 3" xfId="4133" xr:uid="{00000000-0005-0000-0000-000007100000}"/>
    <cellStyle name="Separador de milhares 40 2" xfId="4134" xr:uid="{00000000-0005-0000-0000-000008100000}"/>
    <cellStyle name="Separador de milhares 40 3" xfId="4135" xr:uid="{00000000-0005-0000-0000-000009100000}"/>
    <cellStyle name="Separador de milhares 41 2" xfId="4136" xr:uid="{00000000-0005-0000-0000-00000A100000}"/>
    <cellStyle name="Separador de milhares 41 3" xfId="4137" xr:uid="{00000000-0005-0000-0000-00000B100000}"/>
    <cellStyle name="Separador de milhares 42 2" xfId="4138" xr:uid="{00000000-0005-0000-0000-00000C100000}"/>
    <cellStyle name="Separador de milhares 42 3" xfId="4139" xr:uid="{00000000-0005-0000-0000-00000D100000}"/>
    <cellStyle name="Separador de milhares 5" xfId="37" xr:uid="{00000000-0005-0000-0000-00000E100000}"/>
    <cellStyle name="Separador de milhares 5 10" xfId="126" xr:uid="{00000000-0005-0000-0000-00000F100000}"/>
    <cellStyle name="Separador de milhares 5 11" xfId="130" xr:uid="{00000000-0005-0000-0000-000010100000}"/>
    <cellStyle name="Separador de milhares 5 12" xfId="134" xr:uid="{00000000-0005-0000-0000-000011100000}"/>
    <cellStyle name="Separador de milhares 5 13" xfId="138" xr:uid="{00000000-0005-0000-0000-000012100000}"/>
    <cellStyle name="Separador de milhares 5 14" xfId="142" xr:uid="{00000000-0005-0000-0000-000013100000}"/>
    <cellStyle name="Separador de milhares 5 15" xfId="146" xr:uid="{00000000-0005-0000-0000-000014100000}"/>
    <cellStyle name="Separador de milhares 5 16" xfId="150" xr:uid="{00000000-0005-0000-0000-000015100000}"/>
    <cellStyle name="Separador de milhares 5 17" xfId="154" xr:uid="{00000000-0005-0000-0000-000016100000}"/>
    <cellStyle name="Separador de milhares 5 18" xfId="158" xr:uid="{00000000-0005-0000-0000-000017100000}"/>
    <cellStyle name="Separador de milhares 5 19" xfId="175" xr:uid="{00000000-0005-0000-0000-000018100000}"/>
    <cellStyle name="Separador de milhares 5 2" xfId="94" xr:uid="{00000000-0005-0000-0000-000019100000}"/>
    <cellStyle name="Separador de milhares 5 3" xfId="98" xr:uid="{00000000-0005-0000-0000-00001A100000}"/>
    <cellStyle name="Separador de milhares 5 4" xfId="102" xr:uid="{00000000-0005-0000-0000-00001B100000}"/>
    <cellStyle name="Separador de milhares 5 5" xfId="106" xr:uid="{00000000-0005-0000-0000-00001C100000}"/>
    <cellStyle name="Separador de milhares 5 6" xfId="110" xr:uid="{00000000-0005-0000-0000-00001D100000}"/>
    <cellStyle name="Separador de milhares 5 7" xfId="114" xr:uid="{00000000-0005-0000-0000-00001E100000}"/>
    <cellStyle name="Separador de milhares 5 8" xfId="118" xr:uid="{00000000-0005-0000-0000-00001F100000}"/>
    <cellStyle name="Separador de milhares 5 9" xfId="122" xr:uid="{00000000-0005-0000-0000-000020100000}"/>
    <cellStyle name="Separador de milhares 6" xfId="38" xr:uid="{00000000-0005-0000-0000-000021100000}"/>
    <cellStyle name="Separador de milhares 6 2" xfId="39" xr:uid="{00000000-0005-0000-0000-000022100000}"/>
    <cellStyle name="Separador de milhares 6 2 2" xfId="177" xr:uid="{00000000-0005-0000-0000-000023100000}"/>
    <cellStyle name="Separador de milhares 6 3" xfId="176" xr:uid="{00000000-0005-0000-0000-000024100000}"/>
    <cellStyle name="Separador de milhares 7" xfId="40" xr:uid="{00000000-0005-0000-0000-000025100000}"/>
    <cellStyle name="Separador de milhares 7 2" xfId="178" xr:uid="{00000000-0005-0000-0000-000026100000}"/>
    <cellStyle name="Separador de milhares 7 3" xfId="4140" xr:uid="{00000000-0005-0000-0000-000027100000}"/>
    <cellStyle name="Separador de milhares 8" xfId="41" xr:uid="{00000000-0005-0000-0000-000028100000}"/>
    <cellStyle name="Separador de milhares 8 2" xfId="179" xr:uid="{00000000-0005-0000-0000-000029100000}"/>
    <cellStyle name="Separador de milhares 8 3" xfId="4141" xr:uid="{00000000-0005-0000-0000-00002A100000}"/>
    <cellStyle name="Separador de milhares 9 2" xfId="4142" xr:uid="{00000000-0005-0000-0000-00002B100000}"/>
    <cellStyle name="Separador de milhares 9 3" xfId="4143" xr:uid="{00000000-0005-0000-0000-00002C100000}"/>
    <cellStyle name="Sepavador de milhares [0]_Pasta2" xfId="42" xr:uid="{00000000-0005-0000-0000-00002D100000}"/>
    <cellStyle name="SUBTIT" xfId="87" xr:uid="{00000000-0005-0000-0000-00002E100000}"/>
    <cellStyle name="Texto de Aviso 2" xfId="4144" xr:uid="{00000000-0005-0000-0000-00002F100000}"/>
    <cellStyle name="Texto de Aviso 2 2" xfId="4145" xr:uid="{00000000-0005-0000-0000-000030100000}"/>
    <cellStyle name="Texto de Aviso 2 3" xfId="4146" xr:uid="{00000000-0005-0000-0000-000031100000}"/>
    <cellStyle name="Texto Explicativo 2" xfId="4147" xr:uid="{00000000-0005-0000-0000-000032100000}"/>
    <cellStyle name="Texto Explicativo 2 2" xfId="4148" xr:uid="{00000000-0005-0000-0000-000033100000}"/>
    <cellStyle name="Texto Explicativo 2 3" xfId="4149" xr:uid="{00000000-0005-0000-0000-000034100000}"/>
    <cellStyle name="Title" xfId="88" xr:uid="{00000000-0005-0000-0000-000035100000}"/>
    <cellStyle name="Título 1 1" xfId="43" xr:uid="{00000000-0005-0000-0000-000036100000}"/>
    <cellStyle name="Título 1 1 2" xfId="4150" xr:uid="{00000000-0005-0000-0000-000037100000}"/>
    <cellStyle name="Título 1 1 3" xfId="4151" xr:uid="{00000000-0005-0000-0000-000038100000}"/>
    <cellStyle name="Título 1 10" xfId="4152" xr:uid="{00000000-0005-0000-0000-000039100000}"/>
    <cellStyle name="Título 1 10 2" xfId="4153" xr:uid="{00000000-0005-0000-0000-00003A100000}"/>
    <cellStyle name="Título 1 10 2 2" xfId="4154" xr:uid="{00000000-0005-0000-0000-00003B100000}"/>
    <cellStyle name="Título 1 10 2 3" xfId="4155" xr:uid="{00000000-0005-0000-0000-00003C100000}"/>
    <cellStyle name="Título 1 10 3" xfId="4156" xr:uid="{00000000-0005-0000-0000-00003D100000}"/>
    <cellStyle name="Título 1 10 4" xfId="4157" xr:uid="{00000000-0005-0000-0000-00003E100000}"/>
    <cellStyle name="Título 1 11" xfId="4158" xr:uid="{00000000-0005-0000-0000-00003F100000}"/>
    <cellStyle name="Título 1 11 2" xfId="4159" xr:uid="{00000000-0005-0000-0000-000040100000}"/>
    <cellStyle name="Título 1 11 2 2" xfId="4160" xr:uid="{00000000-0005-0000-0000-000041100000}"/>
    <cellStyle name="Título 1 11 2 3" xfId="4161" xr:uid="{00000000-0005-0000-0000-000042100000}"/>
    <cellStyle name="Título 1 11 3" xfId="4162" xr:uid="{00000000-0005-0000-0000-000043100000}"/>
    <cellStyle name="Título 1 11 4" xfId="4163" xr:uid="{00000000-0005-0000-0000-000044100000}"/>
    <cellStyle name="Título 1 12" xfId="4164" xr:uid="{00000000-0005-0000-0000-000045100000}"/>
    <cellStyle name="Título 1 12 2" xfId="4165" xr:uid="{00000000-0005-0000-0000-000046100000}"/>
    <cellStyle name="Título 1 12 2 2" xfId="4166" xr:uid="{00000000-0005-0000-0000-000047100000}"/>
    <cellStyle name="Título 1 12 2 3" xfId="4167" xr:uid="{00000000-0005-0000-0000-000048100000}"/>
    <cellStyle name="Título 1 12 3" xfId="4168" xr:uid="{00000000-0005-0000-0000-000049100000}"/>
    <cellStyle name="Título 1 12 4" xfId="4169" xr:uid="{00000000-0005-0000-0000-00004A100000}"/>
    <cellStyle name="Título 1 13" xfId="4170" xr:uid="{00000000-0005-0000-0000-00004B100000}"/>
    <cellStyle name="Título 1 13 2" xfId="4171" xr:uid="{00000000-0005-0000-0000-00004C100000}"/>
    <cellStyle name="Título 1 13 2 2" xfId="4172" xr:uid="{00000000-0005-0000-0000-00004D100000}"/>
    <cellStyle name="Título 1 13 2 3" xfId="4173" xr:uid="{00000000-0005-0000-0000-00004E100000}"/>
    <cellStyle name="Título 1 13 3" xfId="4174" xr:uid="{00000000-0005-0000-0000-00004F100000}"/>
    <cellStyle name="Título 1 13 4" xfId="4175" xr:uid="{00000000-0005-0000-0000-000050100000}"/>
    <cellStyle name="Título 1 14" xfId="4176" xr:uid="{00000000-0005-0000-0000-000051100000}"/>
    <cellStyle name="Título 1 14 2" xfId="4177" xr:uid="{00000000-0005-0000-0000-000052100000}"/>
    <cellStyle name="Título 1 14 2 2" xfId="4178" xr:uid="{00000000-0005-0000-0000-000053100000}"/>
    <cellStyle name="Título 1 14 2 3" xfId="4179" xr:uid="{00000000-0005-0000-0000-000054100000}"/>
    <cellStyle name="Título 1 14 3" xfId="4180" xr:uid="{00000000-0005-0000-0000-000055100000}"/>
    <cellStyle name="Título 1 14 4" xfId="4181" xr:uid="{00000000-0005-0000-0000-000056100000}"/>
    <cellStyle name="Título 1 15" xfId="4182" xr:uid="{00000000-0005-0000-0000-000057100000}"/>
    <cellStyle name="Título 1 15 2" xfId="4183" xr:uid="{00000000-0005-0000-0000-000058100000}"/>
    <cellStyle name="Título 1 15 2 2" xfId="4184" xr:uid="{00000000-0005-0000-0000-000059100000}"/>
    <cellStyle name="Título 1 15 2 3" xfId="4185" xr:uid="{00000000-0005-0000-0000-00005A100000}"/>
    <cellStyle name="Título 1 15 3" xfId="4186" xr:uid="{00000000-0005-0000-0000-00005B100000}"/>
    <cellStyle name="Título 1 15 4" xfId="4187" xr:uid="{00000000-0005-0000-0000-00005C100000}"/>
    <cellStyle name="Título 1 16" xfId="4188" xr:uid="{00000000-0005-0000-0000-00005D100000}"/>
    <cellStyle name="Título 1 16 2" xfId="4189" xr:uid="{00000000-0005-0000-0000-00005E100000}"/>
    <cellStyle name="Título 1 16 2 2" xfId="4190" xr:uid="{00000000-0005-0000-0000-00005F100000}"/>
    <cellStyle name="Título 1 16 2 3" xfId="4191" xr:uid="{00000000-0005-0000-0000-000060100000}"/>
    <cellStyle name="Título 1 16 3" xfId="4192" xr:uid="{00000000-0005-0000-0000-000061100000}"/>
    <cellStyle name="Título 1 16 4" xfId="4193" xr:uid="{00000000-0005-0000-0000-000062100000}"/>
    <cellStyle name="Título 1 17" xfId="4194" xr:uid="{00000000-0005-0000-0000-000063100000}"/>
    <cellStyle name="Título 1 17 2" xfId="4195" xr:uid="{00000000-0005-0000-0000-000064100000}"/>
    <cellStyle name="Título 1 17 2 2" xfId="4196" xr:uid="{00000000-0005-0000-0000-000065100000}"/>
    <cellStyle name="Título 1 17 2 3" xfId="4197" xr:uid="{00000000-0005-0000-0000-000066100000}"/>
    <cellStyle name="Título 1 17 3" xfId="4198" xr:uid="{00000000-0005-0000-0000-000067100000}"/>
    <cellStyle name="Título 1 17 4" xfId="4199" xr:uid="{00000000-0005-0000-0000-000068100000}"/>
    <cellStyle name="Título 1 18" xfId="4200" xr:uid="{00000000-0005-0000-0000-000069100000}"/>
    <cellStyle name="Título 1 18 2" xfId="4201" xr:uid="{00000000-0005-0000-0000-00006A100000}"/>
    <cellStyle name="Título 1 18 2 2" xfId="4202" xr:uid="{00000000-0005-0000-0000-00006B100000}"/>
    <cellStyle name="Título 1 18 2 3" xfId="4203" xr:uid="{00000000-0005-0000-0000-00006C100000}"/>
    <cellStyle name="Título 1 18 3" xfId="4204" xr:uid="{00000000-0005-0000-0000-00006D100000}"/>
    <cellStyle name="Título 1 18 4" xfId="4205" xr:uid="{00000000-0005-0000-0000-00006E100000}"/>
    <cellStyle name="Título 1 19" xfId="4206" xr:uid="{00000000-0005-0000-0000-00006F100000}"/>
    <cellStyle name="Título 1 19 2" xfId="4207" xr:uid="{00000000-0005-0000-0000-000070100000}"/>
    <cellStyle name="Título 1 19 2 2" xfId="4208" xr:uid="{00000000-0005-0000-0000-000071100000}"/>
    <cellStyle name="Título 1 19 2 3" xfId="4209" xr:uid="{00000000-0005-0000-0000-000072100000}"/>
    <cellStyle name="Título 1 19 3" xfId="4210" xr:uid="{00000000-0005-0000-0000-000073100000}"/>
    <cellStyle name="Título 1 19 4" xfId="4211" xr:uid="{00000000-0005-0000-0000-000074100000}"/>
    <cellStyle name="Título 1 2" xfId="4212" xr:uid="{00000000-0005-0000-0000-000075100000}"/>
    <cellStyle name="Título 1 2 2" xfId="4213" xr:uid="{00000000-0005-0000-0000-000076100000}"/>
    <cellStyle name="Título 1 2 2 2" xfId="4214" xr:uid="{00000000-0005-0000-0000-000077100000}"/>
    <cellStyle name="Título 1 2 2 2 2" xfId="4215" xr:uid="{00000000-0005-0000-0000-000078100000}"/>
    <cellStyle name="Título 1 2 2 2 3" xfId="4216" xr:uid="{00000000-0005-0000-0000-000079100000}"/>
    <cellStyle name="Título 1 2 2 3" xfId="4217" xr:uid="{00000000-0005-0000-0000-00007A100000}"/>
    <cellStyle name="Título 1 2 2 4" xfId="4218" xr:uid="{00000000-0005-0000-0000-00007B100000}"/>
    <cellStyle name="Título 1 2 3" xfId="4219" xr:uid="{00000000-0005-0000-0000-00007C100000}"/>
    <cellStyle name="Título 1 2 4" xfId="4220" xr:uid="{00000000-0005-0000-0000-00007D100000}"/>
    <cellStyle name="Título 1 20" xfId="4221" xr:uid="{00000000-0005-0000-0000-00007E100000}"/>
    <cellStyle name="Título 1 20 2" xfId="4222" xr:uid="{00000000-0005-0000-0000-00007F100000}"/>
    <cellStyle name="Título 1 20 2 2" xfId="4223" xr:uid="{00000000-0005-0000-0000-000080100000}"/>
    <cellStyle name="Título 1 20 2 3" xfId="4224" xr:uid="{00000000-0005-0000-0000-000081100000}"/>
    <cellStyle name="Título 1 20 3" xfId="4225" xr:uid="{00000000-0005-0000-0000-000082100000}"/>
    <cellStyle name="Título 1 20 4" xfId="4226" xr:uid="{00000000-0005-0000-0000-000083100000}"/>
    <cellStyle name="Título 1 21" xfId="4227" xr:uid="{00000000-0005-0000-0000-000084100000}"/>
    <cellStyle name="Título 1 21 2" xfId="4228" xr:uid="{00000000-0005-0000-0000-000085100000}"/>
    <cellStyle name="Título 1 21 2 2" xfId="4229" xr:uid="{00000000-0005-0000-0000-000086100000}"/>
    <cellStyle name="Título 1 21 2 3" xfId="4230" xr:uid="{00000000-0005-0000-0000-000087100000}"/>
    <cellStyle name="Título 1 21 3" xfId="4231" xr:uid="{00000000-0005-0000-0000-000088100000}"/>
    <cellStyle name="Título 1 21 4" xfId="4232" xr:uid="{00000000-0005-0000-0000-000089100000}"/>
    <cellStyle name="Título 1 22" xfId="4233" xr:uid="{00000000-0005-0000-0000-00008A100000}"/>
    <cellStyle name="Título 1 22 2" xfId="4234" xr:uid="{00000000-0005-0000-0000-00008B100000}"/>
    <cellStyle name="Título 1 22 2 2" xfId="4235" xr:uid="{00000000-0005-0000-0000-00008C100000}"/>
    <cellStyle name="Título 1 22 2 3" xfId="4236" xr:uid="{00000000-0005-0000-0000-00008D100000}"/>
    <cellStyle name="Título 1 22 3" xfId="4237" xr:uid="{00000000-0005-0000-0000-00008E100000}"/>
    <cellStyle name="Título 1 22 4" xfId="4238" xr:uid="{00000000-0005-0000-0000-00008F100000}"/>
    <cellStyle name="Título 1 23" xfId="4239" xr:uid="{00000000-0005-0000-0000-000090100000}"/>
    <cellStyle name="Título 1 23 2" xfId="4240" xr:uid="{00000000-0005-0000-0000-000091100000}"/>
    <cellStyle name="Título 1 23 2 2" xfId="4241" xr:uid="{00000000-0005-0000-0000-000092100000}"/>
    <cellStyle name="Título 1 23 2 3" xfId="4242" xr:uid="{00000000-0005-0000-0000-000093100000}"/>
    <cellStyle name="Título 1 23 3" xfId="4243" xr:uid="{00000000-0005-0000-0000-000094100000}"/>
    <cellStyle name="Título 1 23 4" xfId="4244" xr:uid="{00000000-0005-0000-0000-000095100000}"/>
    <cellStyle name="Título 1 24" xfId="4245" xr:uid="{00000000-0005-0000-0000-000096100000}"/>
    <cellStyle name="Título 1 24 2" xfId="4246" xr:uid="{00000000-0005-0000-0000-000097100000}"/>
    <cellStyle name="Título 1 24 2 2" xfId="4247" xr:uid="{00000000-0005-0000-0000-000098100000}"/>
    <cellStyle name="Título 1 24 2 3" xfId="4248" xr:uid="{00000000-0005-0000-0000-000099100000}"/>
    <cellStyle name="Título 1 24 3" xfId="4249" xr:uid="{00000000-0005-0000-0000-00009A100000}"/>
    <cellStyle name="Título 1 24 4" xfId="4250" xr:uid="{00000000-0005-0000-0000-00009B100000}"/>
    <cellStyle name="Título 1 25" xfId="4251" xr:uid="{00000000-0005-0000-0000-00009C100000}"/>
    <cellStyle name="Título 1 25 2" xfId="4252" xr:uid="{00000000-0005-0000-0000-00009D100000}"/>
    <cellStyle name="Título 1 25 2 2" xfId="4253" xr:uid="{00000000-0005-0000-0000-00009E100000}"/>
    <cellStyle name="Título 1 25 2 3" xfId="4254" xr:uid="{00000000-0005-0000-0000-00009F100000}"/>
    <cellStyle name="Título 1 25 3" xfId="4255" xr:uid="{00000000-0005-0000-0000-0000A0100000}"/>
    <cellStyle name="Título 1 25 4" xfId="4256" xr:uid="{00000000-0005-0000-0000-0000A1100000}"/>
    <cellStyle name="Título 1 26" xfId="4257" xr:uid="{00000000-0005-0000-0000-0000A2100000}"/>
    <cellStyle name="Título 1 26 2" xfId="4258" xr:uid="{00000000-0005-0000-0000-0000A3100000}"/>
    <cellStyle name="Título 1 26 2 2" xfId="4259" xr:uid="{00000000-0005-0000-0000-0000A4100000}"/>
    <cellStyle name="Título 1 26 2 3" xfId="4260" xr:uid="{00000000-0005-0000-0000-0000A5100000}"/>
    <cellStyle name="Título 1 26 3" xfId="4261" xr:uid="{00000000-0005-0000-0000-0000A6100000}"/>
    <cellStyle name="Título 1 26 4" xfId="4262" xr:uid="{00000000-0005-0000-0000-0000A7100000}"/>
    <cellStyle name="Título 1 27" xfId="4263" xr:uid="{00000000-0005-0000-0000-0000A8100000}"/>
    <cellStyle name="Título 1 27 2" xfId="4264" xr:uid="{00000000-0005-0000-0000-0000A9100000}"/>
    <cellStyle name="Título 1 27 2 2" xfId="4265" xr:uid="{00000000-0005-0000-0000-0000AA100000}"/>
    <cellStyle name="Título 1 27 2 3" xfId="4266" xr:uid="{00000000-0005-0000-0000-0000AB100000}"/>
    <cellStyle name="Título 1 27 3" xfId="4267" xr:uid="{00000000-0005-0000-0000-0000AC100000}"/>
    <cellStyle name="Título 1 27 4" xfId="4268" xr:uid="{00000000-0005-0000-0000-0000AD100000}"/>
    <cellStyle name="Título 1 28" xfId="4269" xr:uid="{00000000-0005-0000-0000-0000AE100000}"/>
    <cellStyle name="Título 1 28 2" xfId="4270" xr:uid="{00000000-0005-0000-0000-0000AF100000}"/>
    <cellStyle name="Título 1 28 2 2" xfId="4271" xr:uid="{00000000-0005-0000-0000-0000B0100000}"/>
    <cellStyle name="Título 1 28 2 3" xfId="4272" xr:uid="{00000000-0005-0000-0000-0000B1100000}"/>
    <cellStyle name="Título 1 28 3" xfId="4273" xr:uid="{00000000-0005-0000-0000-0000B2100000}"/>
    <cellStyle name="Título 1 28 4" xfId="4274" xr:uid="{00000000-0005-0000-0000-0000B3100000}"/>
    <cellStyle name="Título 1 29" xfId="4275" xr:uid="{00000000-0005-0000-0000-0000B4100000}"/>
    <cellStyle name="Título 1 29 2" xfId="4276" xr:uid="{00000000-0005-0000-0000-0000B5100000}"/>
    <cellStyle name="Título 1 29 2 2" xfId="4277" xr:uid="{00000000-0005-0000-0000-0000B6100000}"/>
    <cellStyle name="Título 1 29 2 3" xfId="4278" xr:uid="{00000000-0005-0000-0000-0000B7100000}"/>
    <cellStyle name="Título 1 29 3" xfId="4279" xr:uid="{00000000-0005-0000-0000-0000B8100000}"/>
    <cellStyle name="Título 1 29 4" xfId="4280" xr:uid="{00000000-0005-0000-0000-0000B9100000}"/>
    <cellStyle name="Título 1 3" xfId="4281" xr:uid="{00000000-0005-0000-0000-0000BA100000}"/>
    <cellStyle name="Título 1 3 2" xfId="4282" xr:uid="{00000000-0005-0000-0000-0000BB100000}"/>
    <cellStyle name="Título 1 3 2 2" xfId="4283" xr:uid="{00000000-0005-0000-0000-0000BC100000}"/>
    <cellStyle name="Título 1 3 2 3" xfId="4284" xr:uid="{00000000-0005-0000-0000-0000BD100000}"/>
    <cellStyle name="Título 1 3 3" xfId="4285" xr:uid="{00000000-0005-0000-0000-0000BE100000}"/>
    <cellStyle name="Título 1 3 4" xfId="4286" xr:uid="{00000000-0005-0000-0000-0000BF100000}"/>
    <cellStyle name="Título 1 30" xfId="4287" xr:uid="{00000000-0005-0000-0000-0000C0100000}"/>
    <cellStyle name="Título 1 30 2" xfId="4288" xr:uid="{00000000-0005-0000-0000-0000C1100000}"/>
    <cellStyle name="Título 1 30 2 2" xfId="4289" xr:uid="{00000000-0005-0000-0000-0000C2100000}"/>
    <cellStyle name="Título 1 30 2 3" xfId="4290" xr:uid="{00000000-0005-0000-0000-0000C3100000}"/>
    <cellStyle name="Título 1 30 3" xfId="4291" xr:uid="{00000000-0005-0000-0000-0000C4100000}"/>
    <cellStyle name="Título 1 30 4" xfId="4292" xr:uid="{00000000-0005-0000-0000-0000C5100000}"/>
    <cellStyle name="Título 1 31" xfId="4293" xr:uid="{00000000-0005-0000-0000-0000C6100000}"/>
    <cellStyle name="Título 1 31 2" xfId="4294" xr:uid="{00000000-0005-0000-0000-0000C7100000}"/>
    <cellStyle name="Título 1 31 2 2" xfId="4295" xr:uid="{00000000-0005-0000-0000-0000C8100000}"/>
    <cellStyle name="Título 1 31 2 3" xfId="4296" xr:uid="{00000000-0005-0000-0000-0000C9100000}"/>
    <cellStyle name="Título 1 31 3" xfId="4297" xr:uid="{00000000-0005-0000-0000-0000CA100000}"/>
    <cellStyle name="Título 1 31 4" xfId="4298" xr:uid="{00000000-0005-0000-0000-0000CB100000}"/>
    <cellStyle name="Título 1 32" xfId="4299" xr:uid="{00000000-0005-0000-0000-0000CC100000}"/>
    <cellStyle name="Título 1 32 2" xfId="4300" xr:uid="{00000000-0005-0000-0000-0000CD100000}"/>
    <cellStyle name="Título 1 32 2 2" xfId="4301" xr:uid="{00000000-0005-0000-0000-0000CE100000}"/>
    <cellStyle name="Título 1 32 2 3" xfId="4302" xr:uid="{00000000-0005-0000-0000-0000CF100000}"/>
    <cellStyle name="Título 1 32 3" xfId="4303" xr:uid="{00000000-0005-0000-0000-0000D0100000}"/>
    <cellStyle name="Título 1 32 4" xfId="4304" xr:uid="{00000000-0005-0000-0000-0000D1100000}"/>
    <cellStyle name="Título 1 33" xfId="4305" xr:uid="{00000000-0005-0000-0000-0000D2100000}"/>
    <cellStyle name="Título 1 33 2" xfId="4306" xr:uid="{00000000-0005-0000-0000-0000D3100000}"/>
    <cellStyle name="Título 1 33 2 2" xfId="4307" xr:uid="{00000000-0005-0000-0000-0000D4100000}"/>
    <cellStyle name="Título 1 33 2 3" xfId="4308" xr:uid="{00000000-0005-0000-0000-0000D5100000}"/>
    <cellStyle name="Título 1 33 3" xfId="4309" xr:uid="{00000000-0005-0000-0000-0000D6100000}"/>
    <cellStyle name="Título 1 33 4" xfId="4310" xr:uid="{00000000-0005-0000-0000-0000D7100000}"/>
    <cellStyle name="Título 1 34" xfId="4311" xr:uid="{00000000-0005-0000-0000-0000D8100000}"/>
    <cellStyle name="Título 1 34 2" xfId="4312" xr:uid="{00000000-0005-0000-0000-0000D9100000}"/>
    <cellStyle name="Título 1 34 2 2" xfId="4313" xr:uid="{00000000-0005-0000-0000-0000DA100000}"/>
    <cellStyle name="Título 1 34 2 3" xfId="4314" xr:uid="{00000000-0005-0000-0000-0000DB100000}"/>
    <cellStyle name="Título 1 34 3" xfId="4315" xr:uid="{00000000-0005-0000-0000-0000DC100000}"/>
    <cellStyle name="Título 1 34 4" xfId="4316" xr:uid="{00000000-0005-0000-0000-0000DD100000}"/>
    <cellStyle name="Título 1 35" xfId="4317" xr:uid="{00000000-0005-0000-0000-0000DE100000}"/>
    <cellStyle name="Título 1 35 2" xfId="4318" xr:uid="{00000000-0005-0000-0000-0000DF100000}"/>
    <cellStyle name="Título 1 35 2 2" xfId="4319" xr:uid="{00000000-0005-0000-0000-0000E0100000}"/>
    <cellStyle name="Título 1 35 2 3" xfId="4320" xr:uid="{00000000-0005-0000-0000-0000E1100000}"/>
    <cellStyle name="Título 1 35 3" xfId="4321" xr:uid="{00000000-0005-0000-0000-0000E2100000}"/>
    <cellStyle name="Título 1 35 4" xfId="4322" xr:uid="{00000000-0005-0000-0000-0000E3100000}"/>
    <cellStyle name="Título 1 36" xfId="4323" xr:uid="{00000000-0005-0000-0000-0000E4100000}"/>
    <cellStyle name="Título 1 36 2" xfId="4324" xr:uid="{00000000-0005-0000-0000-0000E5100000}"/>
    <cellStyle name="Título 1 36 2 2" xfId="4325" xr:uid="{00000000-0005-0000-0000-0000E6100000}"/>
    <cellStyle name="Título 1 36 2 3" xfId="4326" xr:uid="{00000000-0005-0000-0000-0000E7100000}"/>
    <cellStyle name="Título 1 36 3" xfId="4327" xr:uid="{00000000-0005-0000-0000-0000E8100000}"/>
    <cellStyle name="Título 1 36 4" xfId="4328" xr:uid="{00000000-0005-0000-0000-0000E9100000}"/>
    <cellStyle name="Título 1 37" xfId="4329" xr:uid="{00000000-0005-0000-0000-0000EA100000}"/>
    <cellStyle name="Título 1 37 2" xfId="4330" xr:uid="{00000000-0005-0000-0000-0000EB100000}"/>
    <cellStyle name="Título 1 37 2 2" xfId="4331" xr:uid="{00000000-0005-0000-0000-0000EC100000}"/>
    <cellStyle name="Título 1 37 2 3" xfId="4332" xr:uid="{00000000-0005-0000-0000-0000ED100000}"/>
    <cellStyle name="Título 1 37 3" xfId="4333" xr:uid="{00000000-0005-0000-0000-0000EE100000}"/>
    <cellStyle name="Título 1 37 4" xfId="4334" xr:uid="{00000000-0005-0000-0000-0000EF100000}"/>
    <cellStyle name="Título 1 4" xfId="4335" xr:uid="{00000000-0005-0000-0000-0000F0100000}"/>
    <cellStyle name="Título 1 4 2" xfId="4336" xr:uid="{00000000-0005-0000-0000-0000F1100000}"/>
    <cellStyle name="Título 1 4 2 2" xfId="4337" xr:uid="{00000000-0005-0000-0000-0000F2100000}"/>
    <cellStyle name="Título 1 4 2 3" xfId="4338" xr:uid="{00000000-0005-0000-0000-0000F3100000}"/>
    <cellStyle name="Título 1 4 3" xfId="4339" xr:uid="{00000000-0005-0000-0000-0000F4100000}"/>
    <cellStyle name="Título 1 4 4" xfId="4340" xr:uid="{00000000-0005-0000-0000-0000F5100000}"/>
    <cellStyle name="Título 1 5" xfId="4341" xr:uid="{00000000-0005-0000-0000-0000F6100000}"/>
    <cellStyle name="Título 1 5 2" xfId="4342" xr:uid="{00000000-0005-0000-0000-0000F7100000}"/>
    <cellStyle name="Título 1 5 2 2" xfId="4343" xr:uid="{00000000-0005-0000-0000-0000F8100000}"/>
    <cellStyle name="Título 1 5 2 3" xfId="4344" xr:uid="{00000000-0005-0000-0000-0000F9100000}"/>
    <cellStyle name="Título 1 5 3" xfId="4345" xr:uid="{00000000-0005-0000-0000-0000FA100000}"/>
    <cellStyle name="Título 1 5 4" xfId="4346" xr:uid="{00000000-0005-0000-0000-0000FB100000}"/>
    <cellStyle name="Título 1 6" xfId="4347" xr:uid="{00000000-0005-0000-0000-0000FC100000}"/>
    <cellStyle name="Título 1 6 2" xfId="4348" xr:uid="{00000000-0005-0000-0000-0000FD100000}"/>
    <cellStyle name="Título 1 6 2 2" xfId="4349" xr:uid="{00000000-0005-0000-0000-0000FE100000}"/>
    <cellStyle name="Título 1 6 2 3" xfId="4350" xr:uid="{00000000-0005-0000-0000-0000FF100000}"/>
    <cellStyle name="Título 1 6 3" xfId="4351" xr:uid="{00000000-0005-0000-0000-000000110000}"/>
    <cellStyle name="Título 1 6 4" xfId="4352" xr:uid="{00000000-0005-0000-0000-000001110000}"/>
    <cellStyle name="Título 1 7" xfId="4353" xr:uid="{00000000-0005-0000-0000-000002110000}"/>
    <cellStyle name="Título 1 7 2" xfId="4354" xr:uid="{00000000-0005-0000-0000-000003110000}"/>
    <cellStyle name="Título 1 7 2 2" xfId="4355" xr:uid="{00000000-0005-0000-0000-000004110000}"/>
    <cellStyle name="Título 1 7 2 3" xfId="4356" xr:uid="{00000000-0005-0000-0000-000005110000}"/>
    <cellStyle name="Título 1 7 3" xfId="4357" xr:uid="{00000000-0005-0000-0000-000006110000}"/>
    <cellStyle name="Título 1 7 4" xfId="4358" xr:uid="{00000000-0005-0000-0000-000007110000}"/>
    <cellStyle name="Título 1 8" xfId="4359" xr:uid="{00000000-0005-0000-0000-000008110000}"/>
    <cellStyle name="Título 1 8 2" xfId="4360" xr:uid="{00000000-0005-0000-0000-000009110000}"/>
    <cellStyle name="Título 1 8 2 2" xfId="4361" xr:uid="{00000000-0005-0000-0000-00000A110000}"/>
    <cellStyle name="Título 1 8 2 3" xfId="4362" xr:uid="{00000000-0005-0000-0000-00000B110000}"/>
    <cellStyle name="Título 1 8 3" xfId="4363" xr:uid="{00000000-0005-0000-0000-00000C110000}"/>
    <cellStyle name="Título 1 8 4" xfId="4364" xr:uid="{00000000-0005-0000-0000-00000D110000}"/>
    <cellStyle name="Título 1 9" xfId="4365" xr:uid="{00000000-0005-0000-0000-00000E110000}"/>
    <cellStyle name="Título 1 9 2" xfId="4366" xr:uid="{00000000-0005-0000-0000-00000F110000}"/>
    <cellStyle name="Título 1 9 2 2" xfId="4367" xr:uid="{00000000-0005-0000-0000-000010110000}"/>
    <cellStyle name="Título 1 9 2 3" xfId="4368" xr:uid="{00000000-0005-0000-0000-000011110000}"/>
    <cellStyle name="Título 1 9 3" xfId="4369" xr:uid="{00000000-0005-0000-0000-000012110000}"/>
    <cellStyle name="Título 1 9 4" xfId="4370" xr:uid="{00000000-0005-0000-0000-000013110000}"/>
    <cellStyle name="Título 2 10" xfId="4371" xr:uid="{00000000-0005-0000-0000-000014110000}"/>
    <cellStyle name="Título 2 10 2" xfId="4372" xr:uid="{00000000-0005-0000-0000-000015110000}"/>
    <cellStyle name="Título 2 10 2 2" xfId="4373" xr:uid="{00000000-0005-0000-0000-000016110000}"/>
    <cellStyle name="Título 2 10 2 3" xfId="4374" xr:uid="{00000000-0005-0000-0000-000017110000}"/>
    <cellStyle name="Título 2 10 3" xfId="4375" xr:uid="{00000000-0005-0000-0000-000018110000}"/>
    <cellStyle name="Título 2 10 4" xfId="4376" xr:uid="{00000000-0005-0000-0000-000019110000}"/>
    <cellStyle name="Título 2 11" xfId="4377" xr:uid="{00000000-0005-0000-0000-00001A110000}"/>
    <cellStyle name="Título 2 11 2" xfId="4378" xr:uid="{00000000-0005-0000-0000-00001B110000}"/>
    <cellStyle name="Título 2 11 2 2" xfId="4379" xr:uid="{00000000-0005-0000-0000-00001C110000}"/>
    <cellStyle name="Título 2 11 2 3" xfId="4380" xr:uid="{00000000-0005-0000-0000-00001D110000}"/>
    <cellStyle name="Título 2 11 3" xfId="4381" xr:uid="{00000000-0005-0000-0000-00001E110000}"/>
    <cellStyle name="Título 2 11 4" xfId="4382" xr:uid="{00000000-0005-0000-0000-00001F110000}"/>
    <cellStyle name="Título 2 12" xfId="4383" xr:uid="{00000000-0005-0000-0000-000020110000}"/>
    <cellStyle name="Título 2 12 2" xfId="4384" xr:uid="{00000000-0005-0000-0000-000021110000}"/>
    <cellStyle name="Título 2 12 2 2" xfId="4385" xr:uid="{00000000-0005-0000-0000-000022110000}"/>
    <cellStyle name="Título 2 12 2 3" xfId="4386" xr:uid="{00000000-0005-0000-0000-000023110000}"/>
    <cellStyle name="Título 2 12 3" xfId="4387" xr:uid="{00000000-0005-0000-0000-000024110000}"/>
    <cellStyle name="Título 2 12 4" xfId="4388" xr:uid="{00000000-0005-0000-0000-000025110000}"/>
    <cellStyle name="Título 2 13" xfId="4389" xr:uid="{00000000-0005-0000-0000-000026110000}"/>
    <cellStyle name="Título 2 13 2" xfId="4390" xr:uid="{00000000-0005-0000-0000-000027110000}"/>
    <cellStyle name="Título 2 13 2 2" xfId="4391" xr:uid="{00000000-0005-0000-0000-000028110000}"/>
    <cellStyle name="Título 2 13 2 3" xfId="4392" xr:uid="{00000000-0005-0000-0000-000029110000}"/>
    <cellStyle name="Título 2 13 3" xfId="4393" xr:uid="{00000000-0005-0000-0000-00002A110000}"/>
    <cellStyle name="Título 2 13 4" xfId="4394" xr:uid="{00000000-0005-0000-0000-00002B110000}"/>
    <cellStyle name="Título 2 14" xfId="4395" xr:uid="{00000000-0005-0000-0000-00002C110000}"/>
    <cellStyle name="Título 2 14 2" xfId="4396" xr:uid="{00000000-0005-0000-0000-00002D110000}"/>
    <cellStyle name="Título 2 14 2 2" xfId="4397" xr:uid="{00000000-0005-0000-0000-00002E110000}"/>
    <cellStyle name="Título 2 14 2 3" xfId="4398" xr:uid="{00000000-0005-0000-0000-00002F110000}"/>
    <cellStyle name="Título 2 14 3" xfId="4399" xr:uid="{00000000-0005-0000-0000-000030110000}"/>
    <cellStyle name="Título 2 14 4" xfId="4400" xr:uid="{00000000-0005-0000-0000-000031110000}"/>
    <cellStyle name="Título 2 15" xfId="4401" xr:uid="{00000000-0005-0000-0000-000032110000}"/>
    <cellStyle name="Título 2 15 2" xfId="4402" xr:uid="{00000000-0005-0000-0000-000033110000}"/>
    <cellStyle name="Título 2 15 2 2" xfId="4403" xr:uid="{00000000-0005-0000-0000-000034110000}"/>
    <cellStyle name="Título 2 15 2 3" xfId="4404" xr:uid="{00000000-0005-0000-0000-000035110000}"/>
    <cellStyle name="Título 2 15 3" xfId="4405" xr:uid="{00000000-0005-0000-0000-000036110000}"/>
    <cellStyle name="Título 2 15 4" xfId="4406" xr:uid="{00000000-0005-0000-0000-000037110000}"/>
    <cellStyle name="Título 2 16" xfId="4407" xr:uid="{00000000-0005-0000-0000-000038110000}"/>
    <cellStyle name="Título 2 16 2" xfId="4408" xr:uid="{00000000-0005-0000-0000-000039110000}"/>
    <cellStyle name="Título 2 16 2 2" xfId="4409" xr:uid="{00000000-0005-0000-0000-00003A110000}"/>
    <cellStyle name="Título 2 16 2 3" xfId="4410" xr:uid="{00000000-0005-0000-0000-00003B110000}"/>
    <cellStyle name="Título 2 16 3" xfId="4411" xr:uid="{00000000-0005-0000-0000-00003C110000}"/>
    <cellStyle name="Título 2 16 4" xfId="4412" xr:uid="{00000000-0005-0000-0000-00003D110000}"/>
    <cellStyle name="Título 2 17" xfId="4413" xr:uid="{00000000-0005-0000-0000-00003E110000}"/>
    <cellStyle name="Título 2 17 2" xfId="4414" xr:uid="{00000000-0005-0000-0000-00003F110000}"/>
    <cellStyle name="Título 2 17 2 2" xfId="4415" xr:uid="{00000000-0005-0000-0000-000040110000}"/>
    <cellStyle name="Título 2 17 2 3" xfId="4416" xr:uid="{00000000-0005-0000-0000-000041110000}"/>
    <cellStyle name="Título 2 17 3" xfId="4417" xr:uid="{00000000-0005-0000-0000-000042110000}"/>
    <cellStyle name="Título 2 17 4" xfId="4418" xr:uid="{00000000-0005-0000-0000-000043110000}"/>
    <cellStyle name="Título 2 18" xfId="4419" xr:uid="{00000000-0005-0000-0000-000044110000}"/>
    <cellStyle name="Título 2 18 2" xfId="4420" xr:uid="{00000000-0005-0000-0000-000045110000}"/>
    <cellStyle name="Título 2 18 2 2" xfId="4421" xr:uid="{00000000-0005-0000-0000-000046110000}"/>
    <cellStyle name="Título 2 18 2 3" xfId="4422" xr:uid="{00000000-0005-0000-0000-000047110000}"/>
    <cellStyle name="Título 2 18 3" xfId="4423" xr:uid="{00000000-0005-0000-0000-000048110000}"/>
    <cellStyle name="Título 2 18 4" xfId="4424" xr:uid="{00000000-0005-0000-0000-000049110000}"/>
    <cellStyle name="Título 2 19" xfId="4425" xr:uid="{00000000-0005-0000-0000-00004A110000}"/>
    <cellStyle name="Título 2 19 2" xfId="4426" xr:uid="{00000000-0005-0000-0000-00004B110000}"/>
    <cellStyle name="Título 2 19 2 2" xfId="4427" xr:uid="{00000000-0005-0000-0000-00004C110000}"/>
    <cellStyle name="Título 2 19 2 3" xfId="4428" xr:uid="{00000000-0005-0000-0000-00004D110000}"/>
    <cellStyle name="Título 2 19 3" xfId="4429" xr:uid="{00000000-0005-0000-0000-00004E110000}"/>
    <cellStyle name="Título 2 19 4" xfId="4430" xr:uid="{00000000-0005-0000-0000-00004F110000}"/>
    <cellStyle name="Título 2 2" xfId="4431" xr:uid="{00000000-0005-0000-0000-000050110000}"/>
    <cellStyle name="Título 2 2 2" xfId="4432" xr:uid="{00000000-0005-0000-0000-000051110000}"/>
    <cellStyle name="Título 2 2 2 2" xfId="4433" xr:uid="{00000000-0005-0000-0000-000052110000}"/>
    <cellStyle name="Título 2 2 2 2 2" xfId="4434" xr:uid="{00000000-0005-0000-0000-000053110000}"/>
    <cellStyle name="Título 2 2 2 2 3" xfId="4435" xr:uid="{00000000-0005-0000-0000-000054110000}"/>
    <cellStyle name="Título 2 2 2 3" xfId="4436" xr:uid="{00000000-0005-0000-0000-000055110000}"/>
    <cellStyle name="Título 2 2 2 4" xfId="4437" xr:uid="{00000000-0005-0000-0000-000056110000}"/>
    <cellStyle name="Título 2 2 3" xfId="4438" xr:uid="{00000000-0005-0000-0000-000057110000}"/>
    <cellStyle name="Título 2 2 4" xfId="4439" xr:uid="{00000000-0005-0000-0000-000058110000}"/>
    <cellStyle name="Título 2 20" xfId="4440" xr:uid="{00000000-0005-0000-0000-000059110000}"/>
    <cellStyle name="Título 2 20 2" xfId="4441" xr:uid="{00000000-0005-0000-0000-00005A110000}"/>
    <cellStyle name="Título 2 20 2 2" xfId="4442" xr:uid="{00000000-0005-0000-0000-00005B110000}"/>
    <cellStyle name="Título 2 20 2 3" xfId="4443" xr:uid="{00000000-0005-0000-0000-00005C110000}"/>
    <cellStyle name="Título 2 20 3" xfId="4444" xr:uid="{00000000-0005-0000-0000-00005D110000}"/>
    <cellStyle name="Título 2 20 4" xfId="4445" xr:uid="{00000000-0005-0000-0000-00005E110000}"/>
    <cellStyle name="Título 2 21" xfId="4446" xr:uid="{00000000-0005-0000-0000-00005F110000}"/>
    <cellStyle name="Título 2 21 2" xfId="4447" xr:uid="{00000000-0005-0000-0000-000060110000}"/>
    <cellStyle name="Título 2 21 2 2" xfId="4448" xr:uid="{00000000-0005-0000-0000-000061110000}"/>
    <cellStyle name="Título 2 21 2 3" xfId="4449" xr:uid="{00000000-0005-0000-0000-000062110000}"/>
    <cellStyle name="Título 2 21 3" xfId="4450" xr:uid="{00000000-0005-0000-0000-000063110000}"/>
    <cellStyle name="Título 2 21 4" xfId="4451" xr:uid="{00000000-0005-0000-0000-000064110000}"/>
    <cellStyle name="Título 2 22" xfId="4452" xr:uid="{00000000-0005-0000-0000-000065110000}"/>
    <cellStyle name="Título 2 22 2" xfId="4453" xr:uid="{00000000-0005-0000-0000-000066110000}"/>
    <cellStyle name="Título 2 22 2 2" xfId="4454" xr:uid="{00000000-0005-0000-0000-000067110000}"/>
    <cellStyle name="Título 2 22 2 3" xfId="4455" xr:uid="{00000000-0005-0000-0000-000068110000}"/>
    <cellStyle name="Título 2 22 3" xfId="4456" xr:uid="{00000000-0005-0000-0000-000069110000}"/>
    <cellStyle name="Título 2 22 4" xfId="4457" xr:uid="{00000000-0005-0000-0000-00006A110000}"/>
    <cellStyle name="Título 2 23" xfId="4458" xr:uid="{00000000-0005-0000-0000-00006B110000}"/>
    <cellStyle name="Título 2 23 2" xfId="4459" xr:uid="{00000000-0005-0000-0000-00006C110000}"/>
    <cellStyle name="Título 2 23 2 2" xfId="4460" xr:uid="{00000000-0005-0000-0000-00006D110000}"/>
    <cellStyle name="Título 2 23 2 3" xfId="4461" xr:uid="{00000000-0005-0000-0000-00006E110000}"/>
    <cellStyle name="Título 2 23 3" xfId="4462" xr:uid="{00000000-0005-0000-0000-00006F110000}"/>
    <cellStyle name="Título 2 23 4" xfId="4463" xr:uid="{00000000-0005-0000-0000-000070110000}"/>
    <cellStyle name="Título 2 24" xfId="4464" xr:uid="{00000000-0005-0000-0000-000071110000}"/>
    <cellStyle name="Título 2 24 2" xfId="4465" xr:uid="{00000000-0005-0000-0000-000072110000}"/>
    <cellStyle name="Título 2 24 2 2" xfId="4466" xr:uid="{00000000-0005-0000-0000-000073110000}"/>
    <cellStyle name="Título 2 24 2 3" xfId="4467" xr:uid="{00000000-0005-0000-0000-000074110000}"/>
    <cellStyle name="Título 2 24 3" xfId="4468" xr:uid="{00000000-0005-0000-0000-000075110000}"/>
    <cellStyle name="Título 2 24 4" xfId="4469" xr:uid="{00000000-0005-0000-0000-000076110000}"/>
    <cellStyle name="Título 2 25" xfId="4470" xr:uid="{00000000-0005-0000-0000-000077110000}"/>
    <cellStyle name="Título 2 25 2" xfId="4471" xr:uid="{00000000-0005-0000-0000-000078110000}"/>
    <cellStyle name="Título 2 25 2 2" xfId="4472" xr:uid="{00000000-0005-0000-0000-000079110000}"/>
    <cellStyle name="Título 2 25 2 3" xfId="4473" xr:uid="{00000000-0005-0000-0000-00007A110000}"/>
    <cellStyle name="Título 2 25 3" xfId="4474" xr:uid="{00000000-0005-0000-0000-00007B110000}"/>
    <cellStyle name="Título 2 25 4" xfId="4475" xr:uid="{00000000-0005-0000-0000-00007C110000}"/>
    <cellStyle name="Título 2 26" xfId="4476" xr:uid="{00000000-0005-0000-0000-00007D110000}"/>
    <cellStyle name="Título 2 26 2" xfId="4477" xr:uid="{00000000-0005-0000-0000-00007E110000}"/>
    <cellStyle name="Título 2 26 2 2" xfId="4478" xr:uid="{00000000-0005-0000-0000-00007F110000}"/>
    <cellStyle name="Título 2 26 2 3" xfId="4479" xr:uid="{00000000-0005-0000-0000-000080110000}"/>
    <cellStyle name="Título 2 26 3" xfId="4480" xr:uid="{00000000-0005-0000-0000-000081110000}"/>
    <cellStyle name="Título 2 26 4" xfId="4481" xr:uid="{00000000-0005-0000-0000-000082110000}"/>
    <cellStyle name="Título 2 27" xfId="4482" xr:uid="{00000000-0005-0000-0000-000083110000}"/>
    <cellStyle name="Título 2 27 2" xfId="4483" xr:uid="{00000000-0005-0000-0000-000084110000}"/>
    <cellStyle name="Título 2 27 2 2" xfId="4484" xr:uid="{00000000-0005-0000-0000-000085110000}"/>
    <cellStyle name="Título 2 27 2 3" xfId="4485" xr:uid="{00000000-0005-0000-0000-000086110000}"/>
    <cellStyle name="Título 2 27 3" xfId="4486" xr:uid="{00000000-0005-0000-0000-000087110000}"/>
    <cellStyle name="Título 2 27 4" xfId="4487" xr:uid="{00000000-0005-0000-0000-000088110000}"/>
    <cellStyle name="Título 2 28" xfId="4488" xr:uid="{00000000-0005-0000-0000-000089110000}"/>
    <cellStyle name="Título 2 28 2" xfId="4489" xr:uid="{00000000-0005-0000-0000-00008A110000}"/>
    <cellStyle name="Título 2 28 2 2" xfId="4490" xr:uid="{00000000-0005-0000-0000-00008B110000}"/>
    <cellStyle name="Título 2 28 2 3" xfId="4491" xr:uid="{00000000-0005-0000-0000-00008C110000}"/>
    <cellStyle name="Título 2 28 3" xfId="4492" xr:uid="{00000000-0005-0000-0000-00008D110000}"/>
    <cellStyle name="Título 2 28 4" xfId="4493" xr:uid="{00000000-0005-0000-0000-00008E110000}"/>
    <cellStyle name="Título 2 29" xfId="4494" xr:uid="{00000000-0005-0000-0000-00008F110000}"/>
    <cellStyle name="Título 2 29 2" xfId="4495" xr:uid="{00000000-0005-0000-0000-000090110000}"/>
    <cellStyle name="Título 2 29 2 2" xfId="4496" xr:uid="{00000000-0005-0000-0000-000091110000}"/>
    <cellStyle name="Título 2 29 2 3" xfId="4497" xr:uid="{00000000-0005-0000-0000-000092110000}"/>
    <cellStyle name="Título 2 29 3" xfId="4498" xr:uid="{00000000-0005-0000-0000-000093110000}"/>
    <cellStyle name="Título 2 29 4" xfId="4499" xr:uid="{00000000-0005-0000-0000-000094110000}"/>
    <cellStyle name="Título 2 3" xfId="4500" xr:uid="{00000000-0005-0000-0000-000095110000}"/>
    <cellStyle name="Título 2 3 2" xfId="4501" xr:uid="{00000000-0005-0000-0000-000096110000}"/>
    <cellStyle name="Título 2 3 2 2" xfId="4502" xr:uid="{00000000-0005-0000-0000-000097110000}"/>
    <cellStyle name="Título 2 3 2 3" xfId="4503" xr:uid="{00000000-0005-0000-0000-000098110000}"/>
    <cellStyle name="Título 2 3 3" xfId="4504" xr:uid="{00000000-0005-0000-0000-000099110000}"/>
    <cellStyle name="Título 2 3 4" xfId="4505" xr:uid="{00000000-0005-0000-0000-00009A110000}"/>
    <cellStyle name="Título 2 30" xfId="4506" xr:uid="{00000000-0005-0000-0000-00009B110000}"/>
    <cellStyle name="Título 2 30 2" xfId="4507" xr:uid="{00000000-0005-0000-0000-00009C110000}"/>
    <cellStyle name="Título 2 30 2 2" xfId="4508" xr:uid="{00000000-0005-0000-0000-00009D110000}"/>
    <cellStyle name="Título 2 30 2 3" xfId="4509" xr:uid="{00000000-0005-0000-0000-00009E110000}"/>
    <cellStyle name="Título 2 30 3" xfId="4510" xr:uid="{00000000-0005-0000-0000-00009F110000}"/>
    <cellStyle name="Título 2 30 4" xfId="4511" xr:uid="{00000000-0005-0000-0000-0000A0110000}"/>
    <cellStyle name="Título 2 31" xfId="4512" xr:uid="{00000000-0005-0000-0000-0000A1110000}"/>
    <cellStyle name="Título 2 31 2" xfId="4513" xr:uid="{00000000-0005-0000-0000-0000A2110000}"/>
    <cellStyle name="Título 2 31 2 2" xfId="4514" xr:uid="{00000000-0005-0000-0000-0000A3110000}"/>
    <cellStyle name="Título 2 31 2 3" xfId="4515" xr:uid="{00000000-0005-0000-0000-0000A4110000}"/>
    <cellStyle name="Título 2 31 3" xfId="4516" xr:uid="{00000000-0005-0000-0000-0000A5110000}"/>
    <cellStyle name="Título 2 31 4" xfId="4517" xr:uid="{00000000-0005-0000-0000-0000A6110000}"/>
    <cellStyle name="Título 2 32" xfId="4518" xr:uid="{00000000-0005-0000-0000-0000A7110000}"/>
    <cellStyle name="Título 2 32 2" xfId="4519" xr:uid="{00000000-0005-0000-0000-0000A8110000}"/>
    <cellStyle name="Título 2 32 2 2" xfId="4520" xr:uid="{00000000-0005-0000-0000-0000A9110000}"/>
    <cellStyle name="Título 2 32 2 3" xfId="4521" xr:uid="{00000000-0005-0000-0000-0000AA110000}"/>
    <cellStyle name="Título 2 32 3" xfId="4522" xr:uid="{00000000-0005-0000-0000-0000AB110000}"/>
    <cellStyle name="Título 2 32 4" xfId="4523" xr:uid="{00000000-0005-0000-0000-0000AC110000}"/>
    <cellStyle name="Título 2 33" xfId="4524" xr:uid="{00000000-0005-0000-0000-0000AD110000}"/>
    <cellStyle name="Título 2 33 2" xfId="4525" xr:uid="{00000000-0005-0000-0000-0000AE110000}"/>
    <cellStyle name="Título 2 33 2 2" xfId="4526" xr:uid="{00000000-0005-0000-0000-0000AF110000}"/>
    <cellStyle name="Título 2 33 2 3" xfId="4527" xr:uid="{00000000-0005-0000-0000-0000B0110000}"/>
    <cellStyle name="Título 2 33 3" xfId="4528" xr:uid="{00000000-0005-0000-0000-0000B1110000}"/>
    <cellStyle name="Título 2 33 4" xfId="4529" xr:uid="{00000000-0005-0000-0000-0000B2110000}"/>
    <cellStyle name="Título 2 34" xfId="4530" xr:uid="{00000000-0005-0000-0000-0000B3110000}"/>
    <cellStyle name="Título 2 34 2" xfId="4531" xr:uid="{00000000-0005-0000-0000-0000B4110000}"/>
    <cellStyle name="Título 2 34 2 2" xfId="4532" xr:uid="{00000000-0005-0000-0000-0000B5110000}"/>
    <cellStyle name="Título 2 34 2 3" xfId="4533" xr:uid="{00000000-0005-0000-0000-0000B6110000}"/>
    <cellStyle name="Título 2 34 3" xfId="4534" xr:uid="{00000000-0005-0000-0000-0000B7110000}"/>
    <cellStyle name="Título 2 34 4" xfId="4535" xr:uid="{00000000-0005-0000-0000-0000B8110000}"/>
    <cellStyle name="Título 2 35" xfId="4536" xr:uid="{00000000-0005-0000-0000-0000B9110000}"/>
    <cellStyle name="Título 2 35 2" xfId="4537" xr:uid="{00000000-0005-0000-0000-0000BA110000}"/>
    <cellStyle name="Título 2 35 2 2" xfId="4538" xr:uid="{00000000-0005-0000-0000-0000BB110000}"/>
    <cellStyle name="Título 2 35 2 3" xfId="4539" xr:uid="{00000000-0005-0000-0000-0000BC110000}"/>
    <cellStyle name="Título 2 35 3" xfId="4540" xr:uid="{00000000-0005-0000-0000-0000BD110000}"/>
    <cellStyle name="Título 2 35 4" xfId="4541" xr:uid="{00000000-0005-0000-0000-0000BE110000}"/>
    <cellStyle name="Título 2 36" xfId="4542" xr:uid="{00000000-0005-0000-0000-0000BF110000}"/>
    <cellStyle name="Título 2 36 2" xfId="4543" xr:uid="{00000000-0005-0000-0000-0000C0110000}"/>
    <cellStyle name="Título 2 36 2 2" xfId="4544" xr:uid="{00000000-0005-0000-0000-0000C1110000}"/>
    <cellStyle name="Título 2 36 2 3" xfId="4545" xr:uid="{00000000-0005-0000-0000-0000C2110000}"/>
    <cellStyle name="Título 2 36 3" xfId="4546" xr:uid="{00000000-0005-0000-0000-0000C3110000}"/>
    <cellStyle name="Título 2 36 4" xfId="4547" xr:uid="{00000000-0005-0000-0000-0000C4110000}"/>
    <cellStyle name="Título 2 37" xfId="4548" xr:uid="{00000000-0005-0000-0000-0000C5110000}"/>
    <cellStyle name="Título 2 37 2" xfId="4549" xr:uid="{00000000-0005-0000-0000-0000C6110000}"/>
    <cellStyle name="Título 2 37 2 2" xfId="4550" xr:uid="{00000000-0005-0000-0000-0000C7110000}"/>
    <cellStyle name="Título 2 37 2 3" xfId="4551" xr:uid="{00000000-0005-0000-0000-0000C8110000}"/>
    <cellStyle name="Título 2 37 3" xfId="4552" xr:uid="{00000000-0005-0000-0000-0000C9110000}"/>
    <cellStyle name="Título 2 37 4" xfId="4553" xr:uid="{00000000-0005-0000-0000-0000CA110000}"/>
    <cellStyle name="Título 2 4" xfId="4554" xr:uid="{00000000-0005-0000-0000-0000CB110000}"/>
    <cellStyle name="Título 2 4 2" xfId="4555" xr:uid="{00000000-0005-0000-0000-0000CC110000}"/>
    <cellStyle name="Título 2 4 2 2" xfId="4556" xr:uid="{00000000-0005-0000-0000-0000CD110000}"/>
    <cellStyle name="Título 2 4 2 3" xfId="4557" xr:uid="{00000000-0005-0000-0000-0000CE110000}"/>
    <cellStyle name="Título 2 4 3" xfId="4558" xr:uid="{00000000-0005-0000-0000-0000CF110000}"/>
    <cellStyle name="Título 2 4 4" xfId="4559" xr:uid="{00000000-0005-0000-0000-0000D0110000}"/>
    <cellStyle name="Título 2 5" xfId="4560" xr:uid="{00000000-0005-0000-0000-0000D1110000}"/>
    <cellStyle name="Título 2 5 2" xfId="4561" xr:uid="{00000000-0005-0000-0000-0000D2110000}"/>
    <cellStyle name="Título 2 5 2 2" xfId="4562" xr:uid="{00000000-0005-0000-0000-0000D3110000}"/>
    <cellStyle name="Título 2 5 2 3" xfId="4563" xr:uid="{00000000-0005-0000-0000-0000D4110000}"/>
    <cellStyle name="Título 2 5 3" xfId="4564" xr:uid="{00000000-0005-0000-0000-0000D5110000}"/>
    <cellStyle name="Título 2 5 4" xfId="4565" xr:uid="{00000000-0005-0000-0000-0000D6110000}"/>
    <cellStyle name="Título 2 6" xfId="4566" xr:uid="{00000000-0005-0000-0000-0000D7110000}"/>
    <cellStyle name="Título 2 6 2" xfId="4567" xr:uid="{00000000-0005-0000-0000-0000D8110000}"/>
    <cellStyle name="Título 2 6 2 2" xfId="4568" xr:uid="{00000000-0005-0000-0000-0000D9110000}"/>
    <cellStyle name="Título 2 6 2 3" xfId="4569" xr:uid="{00000000-0005-0000-0000-0000DA110000}"/>
    <cellStyle name="Título 2 6 3" xfId="4570" xr:uid="{00000000-0005-0000-0000-0000DB110000}"/>
    <cellStyle name="Título 2 6 4" xfId="4571" xr:uid="{00000000-0005-0000-0000-0000DC110000}"/>
    <cellStyle name="Título 2 7" xfId="4572" xr:uid="{00000000-0005-0000-0000-0000DD110000}"/>
    <cellStyle name="Título 2 7 2" xfId="4573" xr:uid="{00000000-0005-0000-0000-0000DE110000}"/>
    <cellStyle name="Título 2 7 2 2" xfId="4574" xr:uid="{00000000-0005-0000-0000-0000DF110000}"/>
    <cellStyle name="Título 2 7 2 3" xfId="4575" xr:uid="{00000000-0005-0000-0000-0000E0110000}"/>
    <cellStyle name="Título 2 7 3" xfId="4576" xr:uid="{00000000-0005-0000-0000-0000E1110000}"/>
    <cellStyle name="Título 2 7 4" xfId="4577" xr:uid="{00000000-0005-0000-0000-0000E2110000}"/>
    <cellStyle name="Título 2 8" xfId="4578" xr:uid="{00000000-0005-0000-0000-0000E3110000}"/>
    <cellStyle name="Título 2 8 2" xfId="4579" xr:uid="{00000000-0005-0000-0000-0000E4110000}"/>
    <cellStyle name="Título 2 8 2 2" xfId="4580" xr:uid="{00000000-0005-0000-0000-0000E5110000}"/>
    <cellStyle name="Título 2 8 2 3" xfId="4581" xr:uid="{00000000-0005-0000-0000-0000E6110000}"/>
    <cellStyle name="Título 2 8 3" xfId="4582" xr:uid="{00000000-0005-0000-0000-0000E7110000}"/>
    <cellStyle name="Título 2 8 4" xfId="4583" xr:uid="{00000000-0005-0000-0000-0000E8110000}"/>
    <cellStyle name="Título 2 9" xfId="4584" xr:uid="{00000000-0005-0000-0000-0000E9110000}"/>
    <cellStyle name="Título 2 9 2" xfId="4585" xr:uid="{00000000-0005-0000-0000-0000EA110000}"/>
    <cellStyle name="Título 2 9 2 2" xfId="4586" xr:uid="{00000000-0005-0000-0000-0000EB110000}"/>
    <cellStyle name="Título 2 9 2 3" xfId="4587" xr:uid="{00000000-0005-0000-0000-0000EC110000}"/>
    <cellStyle name="Título 2 9 3" xfId="4588" xr:uid="{00000000-0005-0000-0000-0000ED110000}"/>
    <cellStyle name="Título 2 9 4" xfId="4589" xr:uid="{00000000-0005-0000-0000-0000EE110000}"/>
    <cellStyle name="Título 3 10" xfId="4590" xr:uid="{00000000-0005-0000-0000-0000EF110000}"/>
    <cellStyle name="Título 3 10 2" xfId="4591" xr:uid="{00000000-0005-0000-0000-0000F0110000}"/>
    <cellStyle name="Título 3 10 2 2" xfId="4592" xr:uid="{00000000-0005-0000-0000-0000F1110000}"/>
    <cellStyle name="Título 3 10 2 3" xfId="4593" xr:uid="{00000000-0005-0000-0000-0000F2110000}"/>
    <cellStyle name="Título 3 10 3" xfId="4594" xr:uid="{00000000-0005-0000-0000-0000F3110000}"/>
    <cellStyle name="Título 3 10 4" xfId="4595" xr:uid="{00000000-0005-0000-0000-0000F4110000}"/>
    <cellStyle name="Título 3 11" xfId="4596" xr:uid="{00000000-0005-0000-0000-0000F5110000}"/>
    <cellStyle name="Título 3 11 2" xfId="4597" xr:uid="{00000000-0005-0000-0000-0000F6110000}"/>
    <cellStyle name="Título 3 11 2 2" xfId="4598" xr:uid="{00000000-0005-0000-0000-0000F7110000}"/>
    <cellStyle name="Título 3 11 2 3" xfId="4599" xr:uid="{00000000-0005-0000-0000-0000F8110000}"/>
    <cellStyle name="Título 3 11 3" xfId="4600" xr:uid="{00000000-0005-0000-0000-0000F9110000}"/>
    <cellStyle name="Título 3 11 4" xfId="4601" xr:uid="{00000000-0005-0000-0000-0000FA110000}"/>
    <cellStyle name="Título 3 12" xfId="4602" xr:uid="{00000000-0005-0000-0000-0000FB110000}"/>
    <cellStyle name="Título 3 12 2" xfId="4603" xr:uid="{00000000-0005-0000-0000-0000FC110000}"/>
    <cellStyle name="Título 3 12 2 2" xfId="4604" xr:uid="{00000000-0005-0000-0000-0000FD110000}"/>
    <cellStyle name="Título 3 12 2 3" xfId="4605" xr:uid="{00000000-0005-0000-0000-0000FE110000}"/>
    <cellStyle name="Título 3 12 3" xfId="4606" xr:uid="{00000000-0005-0000-0000-0000FF110000}"/>
    <cellStyle name="Título 3 12 4" xfId="4607" xr:uid="{00000000-0005-0000-0000-000000120000}"/>
    <cellStyle name="Título 3 13" xfId="4608" xr:uid="{00000000-0005-0000-0000-000001120000}"/>
    <cellStyle name="Título 3 13 2" xfId="4609" xr:uid="{00000000-0005-0000-0000-000002120000}"/>
    <cellStyle name="Título 3 13 2 2" xfId="4610" xr:uid="{00000000-0005-0000-0000-000003120000}"/>
    <cellStyle name="Título 3 13 2 3" xfId="4611" xr:uid="{00000000-0005-0000-0000-000004120000}"/>
    <cellStyle name="Título 3 13 3" xfId="4612" xr:uid="{00000000-0005-0000-0000-000005120000}"/>
    <cellStyle name="Título 3 13 4" xfId="4613" xr:uid="{00000000-0005-0000-0000-000006120000}"/>
    <cellStyle name="Título 3 14" xfId="4614" xr:uid="{00000000-0005-0000-0000-000007120000}"/>
    <cellStyle name="Título 3 14 2" xfId="4615" xr:uid="{00000000-0005-0000-0000-000008120000}"/>
    <cellStyle name="Título 3 14 2 2" xfId="4616" xr:uid="{00000000-0005-0000-0000-000009120000}"/>
    <cellStyle name="Título 3 14 2 3" xfId="4617" xr:uid="{00000000-0005-0000-0000-00000A120000}"/>
    <cellStyle name="Título 3 14 3" xfId="4618" xr:uid="{00000000-0005-0000-0000-00000B120000}"/>
    <cellStyle name="Título 3 14 4" xfId="4619" xr:uid="{00000000-0005-0000-0000-00000C120000}"/>
    <cellStyle name="Título 3 15" xfId="4620" xr:uid="{00000000-0005-0000-0000-00000D120000}"/>
    <cellStyle name="Título 3 15 2" xfId="4621" xr:uid="{00000000-0005-0000-0000-00000E120000}"/>
    <cellStyle name="Título 3 15 2 2" xfId="4622" xr:uid="{00000000-0005-0000-0000-00000F120000}"/>
    <cellStyle name="Título 3 15 2 3" xfId="4623" xr:uid="{00000000-0005-0000-0000-000010120000}"/>
    <cellStyle name="Título 3 15 3" xfId="4624" xr:uid="{00000000-0005-0000-0000-000011120000}"/>
    <cellStyle name="Título 3 15 4" xfId="4625" xr:uid="{00000000-0005-0000-0000-000012120000}"/>
    <cellStyle name="Título 3 16" xfId="4626" xr:uid="{00000000-0005-0000-0000-000013120000}"/>
    <cellStyle name="Título 3 16 2" xfId="4627" xr:uid="{00000000-0005-0000-0000-000014120000}"/>
    <cellStyle name="Título 3 16 2 2" xfId="4628" xr:uid="{00000000-0005-0000-0000-000015120000}"/>
    <cellStyle name="Título 3 16 2 3" xfId="4629" xr:uid="{00000000-0005-0000-0000-000016120000}"/>
    <cellStyle name="Título 3 16 3" xfId="4630" xr:uid="{00000000-0005-0000-0000-000017120000}"/>
    <cellStyle name="Título 3 16 4" xfId="4631" xr:uid="{00000000-0005-0000-0000-000018120000}"/>
    <cellStyle name="Título 3 17" xfId="4632" xr:uid="{00000000-0005-0000-0000-000019120000}"/>
    <cellStyle name="Título 3 17 2" xfId="4633" xr:uid="{00000000-0005-0000-0000-00001A120000}"/>
    <cellStyle name="Título 3 17 2 2" xfId="4634" xr:uid="{00000000-0005-0000-0000-00001B120000}"/>
    <cellStyle name="Título 3 17 2 3" xfId="4635" xr:uid="{00000000-0005-0000-0000-00001C120000}"/>
    <cellStyle name="Título 3 17 3" xfId="4636" xr:uid="{00000000-0005-0000-0000-00001D120000}"/>
    <cellStyle name="Título 3 17 4" xfId="4637" xr:uid="{00000000-0005-0000-0000-00001E120000}"/>
    <cellStyle name="Título 3 18" xfId="4638" xr:uid="{00000000-0005-0000-0000-00001F120000}"/>
    <cellStyle name="Título 3 18 2" xfId="4639" xr:uid="{00000000-0005-0000-0000-000020120000}"/>
    <cellStyle name="Título 3 18 2 2" xfId="4640" xr:uid="{00000000-0005-0000-0000-000021120000}"/>
    <cellStyle name="Título 3 18 2 3" xfId="4641" xr:uid="{00000000-0005-0000-0000-000022120000}"/>
    <cellStyle name="Título 3 18 3" xfId="4642" xr:uid="{00000000-0005-0000-0000-000023120000}"/>
    <cellStyle name="Título 3 18 4" xfId="4643" xr:uid="{00000000-0005-0000-0000-000024120000}"/>
    <cellStyle name="Título 3 19" xfId="4644" xr:uid="{00000000-0005-0000-0000-000025120000}"/>
    <cellStyle name="Título 3 19 2" xfId="4645" xr:uid="{00000000-0005-0000-0000-000026120000}"/>
    <cellStyle name="Título 3 19 2 2" xfId="4646" xr:uid="{00000000-0005-0000-0000-000027120000}"/>
    <cellStyle name="Título 3 19 2 3" xfId="4647" xr:uid="{00000000-0005-0000-0000-000028120000}"/>
    <cellStyle name="Título 3 19 3" xfId="4648" xr:uid="{00000000-0005-0000-0000-000029120000}"/>
    <cellStyle name="Título 3 19 4" xfId="4649" xr:uid="{00000000-0005-0000-0000-00002A120000}"/>
    <cellStyle name="Título 3 2" xfId="4650" xr:uid="{00000000-0005-0000-0000-00002B120000}"/>
    <cellStyle name="Título 3 2 2" xfId="4651" xr:uid="{00000000-0005-0000-0000-00002C120000}"/>
    <cellStyle name="Título 3 2 2 2" xfId="4652" xr:uid="{00000000-0005-0000-0000-00002D120000}"/>
    <cellStyle name="Título 3 2 2 2 2" xfId="4653" xr:uid="{00000000-0005-0000-0000-00002E120000}"/>
    <cellStyle name="Título 3 2 2 2 3" xfId="4654" xr:uid="{00000000-0005-0000-0000-00002F120000}"/>
    <cellStyle name="Título 3 2 2 3" xfId="4655" xr:uid="{00000000-0005-0000-0000-000030120000}"/>
    <cellStyle name="Título 3 2 2 4" xfId="4656" xr:uid="{00000000-0005-0000-0000-000031120000}"/>
    <cellStyle name="Título 3 2 3" xfId="4657" xr:uid="{00000000-0005-0000-0000-000032120000}"/>
    <cellStyle name="Título 3 2 4" xfId="4658" xr:uid="{00000000-0005-0000-0000-000033120000}"/>
    <cellStyle name="Título 3 20" xfId="4659" xr:uid="{00000000-0005-0000-0000-000034120000}"/>
    <cellStyle name="Título 3 20 2" xfId="4660" xr:uid="{00000000-0005-0000-0000-000035120000}"/>
    <cellStyle name="Título 3 20 2 2" xfId="4661" xr:uid="{00000000-0005-0000-0000-000036120000}"/>
    <cellStyle name="Título 3 20 2 3" xfId="4662" xr:uid="{00000000-0005-0000-0000-000037120000}"/>
    <cellStyle name="Título 3 20 3" xfId="4663" xr:uid="{00000000-0005-0000-0000-000038120000}"/>
    <cellStyle name="Título 3 20 4" xfId="4664" xr:uid="{00000000-0005-0000-0000-000039120000}"/>
    <cellStyle name="Título 3 21" xfId="4665" xr:uid="{00000000-0005-0000-0000-00003A120000}"/>
    <cellStyle name="Título 3 21 2" xfId="4666" xr:uid="{00000000-0005-0000-0000-00003B120000}"/>
    <cellStyle name="Título 3 21 2 2" xfId="4667" xr:uid="{00000000-0005-0000-0000-00003C120000}"/>
    <cellStyle name="Título 3 21 2 3" xfId="4668" xr:uid="{00000000-0005-0000-0000-00003D120000}"/>
    <cellStyle name="Título 3 21 3" xfId="4669" xr:uid="{00000000-0005-0000-0000-00003E120000}"/>
    <cellStyle name="Título 3 21 4" xfId="4670" xr:uid="{00000000-0005-0000-0000-00003F120000}"/>
    <cellStyle name="Título 3 22" xfId="4671" xr:uid="{00000000-0005-0000-0000-000040120000}"/>
    <cellStyle name="Título 3 22 2" xfId="4672" xr:uid="{00000000-0005-0000-0000-000041120000}"/>
    <cellStyle name="Título 3 22 2 2" xfId="4673" xr:uid="{00000000-0005-0000-0000-000042120000}"/>
    <cellStyle name="Título 3 22 2 3" xfId="4674" xr:uid="{00000000-0005-0000-0000-000043120000}"/>
    <cellStyle name="Título 3 22 3" xfId="4675" xr:uid="{00000000-0005-0000-0000-000044120000}"/>
    <cellStyle name="Título 3 22 4" xfId="4676" xr:uid="{00000000-0005-0000-0000-000045120000}"/>
    <cellStyle name="Título 3 23" xfId="4677" xr:uid="{00000000-0005-0000-0000-000046120000}"/>
    <cellStyle name="Título 3 23 2" xfId="4678" xr:uid="{00000000-0005-0000-0000-000047120000}"/>
    <cellStyle name="Título 3 23 2 2" xfId="4679" xr:uid="{00000000-0005-0000-0000-000048120000}"/>
    <cellStyle name="Título 3 23 2 3" xfId="4680" xr:uid="{00000000-0005-0000-0000-000049120000}"/>
    <cellStyle name="Título 3 23 3" xfId="4681" xr:uid="{00000000-0005-0000-0000-00004A120000}"/>
    <cellStyle name="Título 3 23 4" xfId="4682" xr:uid="{00000000-0005-0000-0000-00004B120000}"/>
    <cellStyle name="Título 3 24" xfId="4683" xr:uid="{00000000-0005-0000-0000-00004C120000}"/>
    <cellStyle name="Título 3 24 2" xfId="4684" xr:uid="{00000000-0005-0000-0000-00004D120000}"/>
    <cellStyle name="Título 3 24 2 2" xfId="4685" xr:uid="{00000000-0005-0000-0000-00004E120000}"/>
    <cellStyle name="Título 3 24 2 3" xfId="4686" xr:uid="{00000000-0005-0000-0000-00004F120000}"/>
    <cellStyle name="Título 3 24 3" xfId="4687" xr:uid="{00000000-0005-0000-0000-000050120000}"/>
    <cellStyle name="Título 3 24 4" xfId="4688" xr:uid="{00000000-0005-0000-0000-000051120000}"/>
    <cellStyle name="Título 3 25" xfId="4689" xr:uid="{00000000-0005-0000-0000-000052120000}"/>
    <cellStyle name="Título 3 25 2" xfId="4690" xr:uid="{00000000-0005-0000-0000-000053120000}"/>
    <cellStyle name="Título 3 25 2 2" xfId="4691" xr:uid="{00000000-0005-0000-0000-000054120000}"/>
    <cellStyle name="Título 3 25 2 3" xfId="4692" xr:uid="{00000000-0005-0000-0000-000055120000}"/>
    <cellStyle name="Título 3 25 3" xfId="4693" xr:uid="{00000000-0005-0000-0000-000056120000}"/>
    <cellStyle name="Título 3 25 4" xfId="4694" xr:uid="{00000000-0005-0000-0000-000057120000}"/>
    <cellStyle name="Título 3 26" xfId="4695" xr:uid="{00000000-0005-0000-0000-000058120000}"/>
    <cellStyle name="Título 3 26 2" xfId="4696" xr:uid="{00000000-0005-0000-0000-000059120000}"/>
    <cellStyle name="Título 3 26 2 2" xfId="4697" xr:uid="{00000000-0005-0000-0000-00005A120000}"/>
    <cellStyle name="Título 3 26 2 3" xfId="4698" xr:uid="{00000000-0005-0000-0000-00005B120000}"/>
    <cellStyle name="Título 3 26 3" xfId="4699" xr:uid="{00000000-0005-0000-0000-00005C120000}"/>
    <cellStyle name="Título 3 26 4" xfId="4700" xr:uid="{00000000-0005-0000-0000-00005D120000}"/>
    <cellStyle name="Título 3 27" xfId="4701" xr:uid="{00000000-0005-0000-0000-00005E120000}"/>
    <cellStyle name="Título 3 27 2" xfId="4702" xr:uid="{00000000-0005-0000-0000-00005F120000}"/>
    <cellStyle name="Título 3 27 2 2" xfId="4703" xr:uid="{00000000-0005-0000-0000-000060120000}"/>
    <cellStyle name="Título 3 27 2 3" xfId="4704" xr:uid="{00000000-0005-0000-0000-000061120000}"/>
    <cellStyle name="Título 3 27 3" xfId="4705" xr:uid="{00000000-0005-0000-0000-000062120000}"/>
    <cellStyle name="Título 3 27 4" xfId="4706" xr:uid="{00000000-0005-0000-0000-000063120000}"/>
    <cellStyle name="Título 3 28" xfId="4707" xr:uid="{00000000-0005-0000-0000-000064120000}"/>
    <cellStyle name="Título 3 28 2" xfId="4708" xr:uid="{00000000-0005-0000-0000-000065120000}"/>
    <cellStyle name="Título 3 28 2 2" xfId="4709" xr:uid="{00000000-0005-0000-0000-000066120000}"/>
    <cellStyle name="Título 3 28 2 3" xfId="4710" xr:uid="{00000000-0005-0000-0000-000067120000}"/>
    <cellStyle name="Título 3 28 3" xfId="4711" xr:uid="{00000000-0005-0000-0000-000068120000}"/>
    <cellStyle name="Título 3 28 4" xfId="4712" xr:uid="{00000000-0005-0000-0000-000069120000}"/>
    <cellStyle name="Título 3 29" xfId="4713" xr:uid="{00000000-0005-0000-0000-00006A120000}"/>
    <cellStyle name="Título 3 29 2" xfId="4714" xr:uid="{00000000-0005-0000-0000-00006B120000}"/>
    <cellStyle name="Título 3 29 2 2" xfId="4715" xr:uid="{00000000-0005-0000-0000-00006C120000}"/>
    <cellStyle name="Título 3 29 2 3" xfId="4716" xr:uid="{00000000-0005-0000-0000-00006D120000}"/>
    <cellStyle name="Título 3 29 3" xfId="4717" xr:uid="{00000000-0005-0000-0000-00006E120000}"/>
    <cellStyle name="Título 3 29 4" xfId="4718" xr:uid="{00000000-0005-0000-0000-00006F120000}"/>
    <cellStyle name="Título 3 3" xfId="4719" xr:uid="{00000000-0005-0000-0000-000070120000}"/>
    <cellStyle name="Título 3 3 2" xfId="4720" xr:uid="{00000000-0005-0000-0000-000071120000}"/>
    <cellStyle name="Título 3 3 2 2" xfId="4721" xr:uid="{00000000-0005-0000-0000-000072120000}"/>
    <cellStyle name="Título 3 3 2 3" xfId="4722" xr:uid="{00000000-0005-0000-0000-000073120000}"/>
    <cellStyle name="Título 3 3 3" xfId="4723" xr:uid="{00000000-0005-0000-0000-000074120000}"/>
    <cellStyle name="Título 3 3 4" xfId="4724" xr:uid="{00000000-0005-0000-0000-000075120000}"/>
    <cellStyle name="Título 3 30" xfId="4725" xr:uid="{00000000-0005-0000-0000-000076120000}"/>
    <cellStyle name="Título 3 30 2" xfId="4726" xr:uid="{00000000-0005-0000-0000-000077120000}"/>
    <cellStyle name="Título 3 30 2 2" xfId="4727" xr:uid="{00000000-0005-0000-0000-000078120000}"/>
    <cellStyle name="Título 3 30 2 3" xfId="4728" xr:uid="{00000000-0005-0000-0000-000079120000}"/>
    <cellStyle name="Título 3 30 3" xfId="4729" xr:uid="{00000000-0005-0000-0000-00007A120000}"/>
    <cellStyle name="Título 3 30 4" xfId="4730" xr:uid="{00000000-0005-0000-0000-00007B120000}"/>
    <cellStyle name="Título 3 31" xfId="4731" xr:uid="{00000000-0005-0000-0000-00007C120000}"/>
    <cellStyle name="Título 3 31 2" xfId="4732" xr:uid="{00000000-0005-0000-0000-00007D120000}"/>
    <cellStyle name="Título 3 31 2 2" xfId="4733" xr:uid="{00000000-0005-0000-0000-00007E120000}"/>
    <cellStyle name="Título 3 31 2 3" xfId="4734" xr:uid="{00000000-0005-0000-0000-00007F120000}"/>
    <cellStyle name="Título 3 31 3" xfId="4735" xr:uid="{00000000-0005-0000-0000-000080120000}"/>
    <cellStyle name="Título 3 31 4" xfId="4736" xr:uid="{00000000-0005-0000-0000-000081120000}"/>
    <cellStyle name="Título 3 32" xfId="4737" xr:uid="{00000000-0005-0000-0000-000082120000}"/>
    <cellStyle name="Título 3 32 2" xfId="4738" xr:uid="{00000000-0005-0000-0000-000083120000}"/>
    <cellStyle name="Título 3 32 2 2" xfId="4739" xr:uid="{00000000-0005-0000-0000-000084120000}"/>
    <cellStyle name="Título 3 32 2 3" xfId="4740" xr:uid="{00000000-0005-0000-0000-000085120000}"/>
    <cellStyle name="Título 3 32 3" xfId="4741" xr:uid="{00000000-0005-0000-0000-000086120000}"/>
    <cellStyle name="Título 3 32 4" xfId="4742" xr:uid="{00000000-0005-0000-0000-000087120000}"/>
    <cellStyle name="Título 3 33" xfId="4743" xr:uid="{00000000-0005-0000-0000-000088120000}"/>
    <cellStyle name="Título 3 33 2" xfId="4744" xr:uid="{00000000-0005-0000-0000-000089120000}"/>
    <cellStyle name="Título 3 33 2 2" xfId="4745" xr:uid="{00000000-0005-0000-0000-00008A120000}"/>
    <cellStyle name="Título 3 33 2 3" xfId="4746" xr:uid="{00000000-0005-0000-0000-00008B120000}"/>
    <cellStyle name="Título 3 33 3" xfId="4747" xr:uid="{00000000-0005-0000-0000-00008C120000}"/>
    <cellStyle name="Título 3 33 4" xfId="4748" xr:uid="{00000000-0005-0000-0000-00008D120000}"/>
    <cellStyle name="Título 3 34" xfId="4749" xr:uid="{00000000-0005-0000-0000-00008E120000}"/>
    <cellStyle name="Título 3 34 2" xfId="4750" xr:uid="{00000000-0005-0000-0000-00008F120000}"/>
    <cellStyle name="Título 3 34 2 2" xfId="4751" xr:uid="{00000000-0005-0000-0000-000090120000}"/>
    <cellStyle name="Título 3 34 2 3" xfId="4752" xr:uid="{00000000-0005-0000-0000-000091120000}"/>
    <cellStyle name="Título 3 34 3" xfId="4753" xr:uid="{00000000-0005-0000-0000-000092120000}"/>
    <cellStyle name="Título 3 34 4" xfId="4754" xr:uid="{00000000-0005-0000-0000-000093120000}"/>
    <cellStyle name="Título 3 35" xfId="4755" xr:uid="{00000000-0005-0000-0000-000094120000}"/>
    <cellStyle name="Título 3 35 2" xfId="4756" xr:uid="{00000000-0005-0000-0000-000095120000}"/>
    <cellStyle name="Título 3 35 2 2" xfId="4757" xr:uid="{00000000-0005-0000-0000-000096120000}"/>
    <cellStyle name="Título 3 35 2 3" xfId="4758" xr:uid="{00000000-0005-0000-0000-000097120000}"/>
    <cellStyle name="Título 3 35 3" xfId="4759" xr:uid="{00000000-0005-0000-0000-000098120000}"/>
    <cellStyle name="Título 3 35 4" xfId="4760" xr:uid="{00000000-0005-0000-0000-000099120000}"/>
    <cellStyle name="Título 3 36" xfId="4761" xr:uid="{00000000-0005-0000-0000-00009A120000}"/>
    <cellStyle name="Título 3 36 2" xfId="4762" xr:uid="{00000000-0005-0000-0000-00009B120000}"/>
    <cellStyle name="Título 3 36 2 2" xfId="4763" xr:uid="{00000000-0005-0000-0000-00009C120000}"/>
    <cellStyle name="Título 3 36 2 3" xfId="4764" xr:uid="{00000000-0005-0000-0000-00009D120000}"/>
    <cellStyle name="Título 3 36 3" xfId="4765" xr:uid="{00000000-0005-0000-0000-00009E120000}"/>
    <cellStyle name="Título 3 36 4" xfId="4766" xr:uid="{00000000-0005-0000-0000-00009F120000}"/>
    <cellStyle name="Título 3 37" xfId="4767" xr:uid="{00000000-0005-0000-0000-0000A0120000}"/>
    <cellStyle name="Título 3 37 2" xfId="4768" xr:uid="{00000000-0005-0000-0000-0000A1120000}"/>
    <cellStyle name="Título 3 37 2 2" xfId="4769" xr:uid="{00000000-0005-0000-0000-0000A2120000}"/>
    <cellStyle name="Título 3 37 2 3" xfId="4770" xr:uid="{00000000-0005-0000-0000-0000A3120000}"/>
    <cellStyle name="Título 3 37 3" xfId="4771" xr:uid="{00000000-0005-0000-0000-0000A4120000}"/>
    <cellStyle name="Título 3 37 4" xfId="4772" xr:uid="{00000000-0005-0000-0000-0000A5120000}"/>
    <cellStyle name="Título 3 4" xfId="4773" xr:uid="{00000000-0005-0000-0000-0000A6120000}"/>
    <cellStyle name="Título 3 4 2" xfId="4774" xr:uid="{00000000-0005-0000-0000-0000A7120000}"/>
    <cellStyle name="Título 3 4 2 2" xfId="4775" xr:uid="{00000000-0005-0000-0000-0000A8120000}"/>
    <cellStyle name="Título 3 4 2 3" xfId="4776" xr:uid="{00000000-0005-0000-0000-0000A9120000}"/>
    <cellStyle name="Título 3 4 3" xfId="4777" xr:uid="{00000000-0005-0000-0000-0000AA120000}"/>
    <cellStyle name="Título 3 4 4" xfId="4778" xr:uid="{00000000-0005-0000-0000-0000AB120000}"/>
    <cellStyle name="Título 3 5" xfId="4779" xr:uid="{00000000-0005-0000-0000-0000AC120000}"/>
    <cellStyle name="Título 3 5 2" xfId="4780" xr:uid="{00000000-0005-0000-0000-0000AD120000}"/>
    <cellStyle name="Título 3 5 2 2" xfId="4781" xr:uid="{00000000-0005-0000-0000-0000AE120000}"/>
    <cellStyle name="Título 3 5 2 3" xfId="4782" xr:uid="{00000000-0005-0000-0000-0000AF120000}"/>
    <cellStyle name="Título 3 5 3" xfId="4783" xr:uid="{00000000-0005-0000-0000-0000B0120000}"/>
    <cellStyle name="Título 3 5 4" xfId="4784" xr:uid="{00000000-0005-0000-0000-0000B1120000}"/>
    <cellStyle name="Título 3 6" xfId="4785" xr:uid="{00000000-0005-0000-0000-0000B2120000}"/>
    <cellStyle name="Título 3 6 2" xfId="4786" xr:uid="{00000000-0005-0000-0000-0000B3120000}"/>
    <cellStyle name="Título 3 6 2 2" xfId="4787" xr:uid="{00000000-0005-0000-0000-0000B4120000}"/>
    <cellStyle name="Título 3 6 2 3" xfId="4788" xr:uid="{00000000-0005-0000-0000-0000B5120000}"/>
    <cellStyle name="Título 3 6 3" xfId="4789" xr:uid="{00000000-0005-0000-0000-0000B6120000}"/>
    <cellStyle name="Título 3 6 4" xfId="4790" xr:uid="{00000000-0005-0000-0000-0000B7120000}"/>
    <cellStyle name="Título 3 7" xfId="4791" xr:uid="{00000000-0005-0000-0000-0000B8120000}"/>
    <cellStyle name="Título 3 7 2" xfId="4792" xr:uid="{00000000-0005-0000-0000-0000B9120000}"/>
    <cellStyle name="Título 3 7 2 2" xfId="4793" xr:uid="{00000000-0005-0000-0000-0000BA120000}"/>
    <cellStyle name="Título 3 7 2 3" xfId="4794" xr:uid="{00000000-0005-0000-0000-0000BB120000}"/>
    <cellStyle name="Título 3 7 3" xfId="4795" xr:uid="{00000000-0005-0000-0000-0000BC120000}"/>
    <cellStyle name="Título 3 7 4" xfId="4796" xr:uid="{00000000-0005-0000-0000-0000BD120000}"/>
    <cellStyle name="Título 3 8" xfId="4797" xr:uid="{00000000-0005-0000-0000-0000BE120000}"/>
    <cellStyle name="Título 3 8 2" xfId="4798" xr:uid="{00000000-0005-0000-0000-0000BF120000}"/>
    <cellStyle name="Título 3 8 2 2" xfId="4799" xr:uid="{00000000-0005-0000-0000-0000C0120000}"/>
    <cellStyle name="Título 3 8 2 3" xfId="4800" xr:uid="{00000000-0005-0000-0000-0000C1120000}"/>
    <cellStyle name="Título 3 8 3" xfId="4801" xr:uid="{00000000-0005-0000-0000-0000C2120000}"/>
    <cellStyle name="Título 3 8 4" xfId="4802" xr:uid="{00000000-0005-0000-0000-0000C3120000}"/>
    <cellStyle name="Título 3 9" xfId="4803" xr:uid="{00000000-0005-0000-0000-0000C4120000}"/>
    <cellStyle name="Título 3 9 2" xfId="4804" xr:uid="{00000000-0005-0000-0000-0000C5120000}"/>
    <cellStyle name="Título 3 9 2 2" xfId="4805" xr:uid="{00000000-0005-0000-0000-0000C6120000}"/>
    <cellStyle name="Título 3 9 2 3" xfId="4806" xr:uid="{00000000-0005-0000-0000-0000C7120000}"/>
    <cellStyle name="Título 3 9 3" xfId="4807" xr:uid="{00000000-0005-0000-0000-0000C8120000}"/>
    <cellStyle name="Título 3 9 4" xfId="4808" xr:uid="{00000000-0005-0000-0000-0000C9120000}"/>
    <cellStyle name="Título 4 10" xfId="4809" xr:uid="{00000000-0005-0000-0000-0000CA120000}"/>
    <cellStyle name="Título 4 10 2" xfId="4810" xr:uid="{00000000-0005-0000-0000-0000CB120000}"/>
    <cellStyle name="Título 4 10 2 2" xfId="4811" xr:uid="{00000000-0005-0000-0000-0000CC120000}"/>
    <cellStyle name="Título 4 10 2 3" xfId="4812" xr:uid="{00000000-0005-0000-0000-0000CD120000}"/>
    <cellStyle name="Título 4 10 3" xfId="4813" xr:uid="{00000000-0005-0000-0000-0000CE120000}"/>
    <cellStyle name="Título 4 10 4" xfId="4814" xr:uid="{00000000-0005-0000-0000-0000CF120000}"/>
    <cellStyle name="Título 4 11" xfId="4815" xr:uid="{00000000-0005-0000-0000-0000D0120000}"/>
    <cellStyle name="Título 4 11 2" xfId="4816" xr:uid="{00000000-0005-0000-0000-0000D1120000}"/>
    <cellStyle name="Título 4 11 2 2" xfId="4817" xr:uid="{00000000-0005-0000-0000-0000D2120000}"/>
    <cellStyle name="Título 4 11 2 3" xfId="4818" xr:uid="{00000000-0005-0000-0000-0000D3120000}"/>
    <cellStyle name="Título 4 11 3" xfId="4819" xr:uid="{00000000-0005-0000-0000-0000D4120000}"/>
    <cellStyle name="Título 4 11 4" xfId="4820" xr:uid="{00000000-0005-0000-0000-0000D5120000}"/>
    <cellStyle name="Título 4 12" xfId="4821" xr:uid="{00000000-0005-0000-0000-0000D6120000}"/>
    <cellStyle name="Título 4 12 2" xfId="4822" xr:uid="{00000000-0005-0000-0000-0000D7120000}"/>
    <cellStyle name="Título 4 12 2 2" xfId="4823" xr:uid="{00000000-0005-0000-0000-0000D8120000}"/>
    <cellStyle name="Título 4 12 2 3" xfId="4824" xr:uid="{00000000-0005-0000-0000-0000D9120000}"/>
    <cellStyle name="Título 4 12 3" xfId="4825" xr:uid="{00000000-0005-0000-0000-0000DA120000}"/>
    <cellStyle name="Título 4 12 4" xfId="4826" xr:uid="{00000000-0005-0000-0000-0000DB120000}"/>
    <cellStyle name="Título 4 13" xfId="4827" xr:uid="{00000000-0005-0000-0000-0000DC120000}"/>
    <cellStyle name="Título 4 13 2" xfId="4828" xr:uid="{00000000-0005-0000-0000-0000DD120000}"/>
    <cellStyle name="Título 4 13 2 2" xfId="4829" xr:uid="{00000000-0005-0000-0000-0000DE120000}"/>
    <cellStyle name="Título 4 13 2 3" xfId="4830" xr:uid="{00000000-0005-0000-0000-0000DF120000}"/>
    <cellStyle name="Título 4 13 3" xfId="4831" xr:uid="{00000000-0005-0000-0000-0000E0120000}"/>
    <cellStyle name="Título 4 13 4" xfId="4832" xr:uid="{00000000-0005-0000-0000-0000E1120000}"/>
    <cellStyle name="Título 4 14" xfId="4833" xr:uid="{00000000-0005-0000-0000-0000E2120000}"/>
    <cellStyle name="Título 4 14 2" xfId="4834" xr:uid="{00000000-0005-0000-0000-0000E3120000}"/>
    <cellStyle name="Título 4 14 2 2" xfId="4835" xr:uid="{00000000-0005-0000-0000-0000E4120000}"/>
    <cellStyle name="Título 4 14 2 3" xfId="4836" xr:uid="{00000000-0005-0000-0000-0000E5120000}"/>
    <cellStyle name="Título 4 14 3" xfId="4837" xr:uid="{00000000-0005-0000-0000-0000E6120000}"/>
    <cellStyle name="Título 4 14 4" xfId="4838" xr:uid="{00000000-0005-0000-0000-0000E7120000}"/>
    <cellStyle name="Título 4 15" xfId="4839" xr:uid="{00000000-0005-0000-0000-0000E8120000}"/>
    <cellStyle name="Título 4 15 2" xfId="4840" xr:uid="{00000000-0005-0000-0000-0000E9120000}"/>
    <cellStyle name="Título 4 15 2 2" xfId="4841" xr:uid="{00000000-0005-0000-0000-0000EA120000}"/>
    <cellStyle name="Título 4 15 2 3" xfId="4842" xr:uid="{00000000-0005-0000-0000-0000EB120000}"/>
    <cellStyle name="Título 4 15 3" xfId="4843" xr:uid="{00000000-0005-0000-0000-0000EC120000}"/>
    <cellStyle name="Título 4 15 4" xfId="4844" xr:uid="{00000000-0005-0000-0000-0000ED120000}"/>
    <cellStyle name="Título 4 16" xfId="4845" xr:uid="{00000000-0005-0000-0000-0000EE120000}"/>
    <cellStyle name="Título 4 16 2" xfId="4846" xr:uid="{00000000-0005-0000-0000-0000EF120000}"/>
    <cellStyle name="Título 4 16 2 2" xfId="4847" xr:uid="{00000000-0005-0000-0000-0000F0120000}"/>
    <cellStyle name="Título 4 16 2 3" xfId="4848" xr:uid="{00000000-0005-0000-0000-0000F1120000}"/>
    <cellStyle name="Título 4 16 3" xfId="4849" xr:uid="{00000000-0005-0000-0000-0000F2120000}"/>
    <cellStyle name="Título 4 16 4" xfId="4850" xr:uid="{00000000-0005-0000-0000-0000F3120000}"/>
    <cellStyle name="Título 4 17" xfId="4851" xr:uid="{00000000-0005-0000-0000-0000F4120000}"/>
    <cellStyle name="Título 4 17 2" xfId="4852" xr:uid="{00000000-0005-0000-0000-0000F5120000}"/>
    <cellStyle name="Título 4 17 2 2" xfId="4853" xr:uid="{00000000-0005-0000-0000-0000F6120000}"/>
    <cellStyle name="Título 4 17 2 3" xfId="4854" xr:uid="{00000000-0005-0000-0000-0000F7120000}"/>
    <cellStyle name="Título 4 17 3" xfId="4855" xr:uid="{00000000-0005-0000-0000-0000F8120000}"/>
    <cellStyle name="Título 4 17 4" xfId="4856" xr:uid="{00000000-0005-0000-0000-0000F9120000}"/>
    <cellStyle name="Título 4 18" xfId="4857" xr:uid="{00000000-0005-0000-0000-0000FA120000}"/>
    <cellStyle name="Título 4 18 2" xfId="4858" xr:uid="{00000000-0005-0000-0000-0000FB120000}"/>
    <cellStyle name="Título 4 18 2 2" xfId="4859" xr:uid="{00000000-0005-0000-0000-0000FC120000}"/>
    <cellStyle name="Título 4 18 2 3" xfId="4860" xr:uid="{00000000-0005-0000-0000-0000FD120000}"/>
    <cellStyle name="Título 4 18 3" xfId="4861" xr:uid="{00000000-0005-0000-0000-0000FE120000}"/>
    <cellStyle name="Título 4 18 4" xfId="4862" xr:uid="{00000000-0005-0000-0000-0000FF120000}"/>
    <cellStyle name="Título 4 19" xfId="4863" xr:uid="{00000000-0005-0000-0000-000000130000}"/>
    <cellStyle name="Título 4 19 2" xfId="4864" xr:uid="{00000000-0005-0000-0000-000001130000}"/>
    <cellStyle name="Título 4 19 2 2" xfId="4865" xr:uid="{00000000-0005-0000-0000-000002130000}"/>
    <cellStyle name="Título 4 19 2 3" xfId="4866" xr:uid="{00000000-0005-0000-0000-000003130000}"/>
    <cellStyle name="Título 4 19 3" xfId="4867" xr:uid="{00000000-0005-0000-0000-000004130000}"/>
    <cellStyle name="Título 4 19 4" xfId="4868" xr:uid="{00000000-0005-0000-0000-000005130000}"/>
    <cellStyle name="Título 4 2" xfId="4869" xr:uid="{00000000-0005-0000-0000-000006130000}"/>
    <cellStyle name="Título 4 2 2" xfId="4870" xr:uid="{00000000-0005-0000-0000-000007130000}"/>
    <cellStyle name="Título 4 2 2 2" xfId="4871" xr:uid="{00000000-0005-0000-0000-000008130000}"/>
    <cellStyle name="Título 4 2 2 2 2" xfId="4872" xr:uid="{00000000-0005-0000-0000-000009130000}"/>
    <cellStyle name="Título 4 2 2 2 3" xfId="4873" xr:uid="{00000000-0005-0000-0000-00000A130000}"/>
    <cellStyle name="Título 4 2 2 3" xfId="4874" xr:uid="{00000000-0005-0000-0000-00000B130000}"/>
    <cellStyle name="Título 4 2 2 4" xfId="4875" xr:uid="{00000000-0005-0000-0000-00000C130000}"/>
    <cellStyle name="Título 4 2 3" xfId="4876" xr:uid="{00000000-0005-0000-0000-00000D130000}"/>
    <cellStyle name="Título 4 2 4" xfId="4877" xr:uid="{00000000-0005-0000-0000-00000E130000}"/>
    <cellStyle name="Título 4 20" xfId="4878" xr:uid="{00000000-0005-0000-0000-00000F130000}"/>
    <cellStyle name="Título 4 20 2" xfId="4879" xr:uid="{00000000-0005-0000-0000-000010130000}"/>
    <cellStyle name="Título 4 20 2 2" xfId="4880" xr:uid="{00000000-0005-0000-0000-000011130000}"/>
    <cellStyle name="Título 4 20 2 3" xfId="4881" xr:uid="{00000000-0005-0000-0000-000012130000}"/>
    <cellStyle name="Título 4 20 3" xfId="4882" xr:uid="{00000000-0005-0000-0000-000013130000}"/>
    <cellStyle name="Título 4 20 4" xfId="4883" xr:uid="{00000000-0005-0000-0000-000014130000}"/>
    <cellStyle name="Título 4 21" xfId="4884" xr:uid="{00000000-0005-0000-0000-000015130000}"/>
    <cellStyle name="Título 4 21 2" xfId="4885" xr:uid="{00000000-0005-0000-0000-000016130000}"/>
    <cellStyle name="Título 4 21 2 2" xfId="4886" xr:uid="{00000000-0005-0000-0000-000017130000}"/>
    <cellStyle name="Título 4 21 2 3" xfId="4887" xr:uid="{00000000-0005-0000-0000-000018130000}"/>
    <cellStyle name="Título 4 21 3" xfId="4888" xr:uid="{00000000-0005-0000-0000-000019130000}"/>
    <cellStyle name="Título 4 21 4" xfId="4889" xr:uid="{00000000-0005-0000-0000-00001A130000}"/>
    <cellStyle name="Título 4 22" xfId="4890" xr:uid="{00000000-0005-0000-0000-00001B130000}"/>
    <cellStyle name="Título 4 22 2" xfId="4891" xr:uid="{00000000-0005-0000-0000-00001C130000}"/>
    <cellStyle name="Título 4 22 2 2" xfId="4892" xr:uid="{00000000-0005-0000-0000-00001D130000}"/>
    <cellStyle name="Título 4 22 2 3" xfId="4893" xr:uid="{00000000-0005-0000-0000-00001E130000}"/>
    <cellStyle name="Título 4 22 3" xfId="4894" xr:uid="{00000000-0005-0000-0000-00001F130000}"/>
    <cellStyle name="Título 4 22 4" xfId="4895" xr:uid="{00000000-0005-0000-0000-000020130000}"/>
    <cellStyle name="Título 4 23" xfId="4896" xr:uid="{00000000-0005-0000-0000-000021130000}"/>
    <cellStyle name="Título 4 23 2" xfId="4897" xr:uid="{00000000-0005-0000-0000-000022130000}"/>
    <cellStyle name="Título 4 23 2 2" xfId="4898" xr:uid="{00000000-0005-0000-0000-000023130000}"/>
    <cellStyle name="Título 4 23 2 3" xfId="4899" xr:uid="{00000000-0005-0000-0000-000024130000}"/>
    <cellStyle name="Título 4 23 3" xfId="4900" xr:uid="{00000000-0005-0000-0000-000025130000}"/>
    <cellStyle name="Título 4 23 4" xfId="4901" xr:uid="{00000000-0005-0000-0000-000026130000}"/>
    <cellStyle name="Título 4 24" xfId="4902" xr:uid="{00000000-0005-0000-0000-000027130000}"/>
    <cellStyle name="Título 4 24 2" xfId="4903" xr:uid="{00000000-0005-0000-0000-000028130000}"/>
    <cellStyle name="Título 4 24 2 2" xfId="4904" xr:uid="{00000000-0005-0000-0000-000029130000}"/>
    <cellStyle name="Título 4 24 2 3" xfId="4905" xr:uid="{00000000-0005-0000-0000-00002A130000}"/>
    <cellStyle name="Título 4 24 3" xfId="4906" xr:uid="{00000000-0005-0000-0000-00002B130000}"/>
    <cellStyle name="Título 4 24 4" xfId="4907" xr:uid="{00000000-0005-0000-0000-00002C130000}"/>
    <cellStyle name="Título 4 25" xfId="4908" xr:uid="{00000000-0005-0000-0000-00002D130000}"/>
    <cellStyle name="Título 4 25 2" xfId="4909" xr:uid="{00000000-0005-0000-0000-00002E130000}"/>
    <cellStyle name="Título 4 25 2 2" xfId="4910" xr:uid="{00000000-0005-0000-0000-00002F130000}"/>
    <cellStyle name="Título 4 25 2 3" xfId="4911" xr:uid="{00000000-0005-0000-0000-000030130000}"/>
    <cellStyle name="Título 4 25 3" xfId="4912" xr:uid="{00000000-0005-0000-0000-000031130000}"/>
    <cellStyle name="Título 4 25 4" xfId="4913" xr:uid="{00000000-0005-0000-0000-000032130000}"/>
    <cellStyle name="Título 4 26" xfId="4914" xr:uid="{00000000-0005-0000-0000-000033130000}"/>
    <cellStyle name="Título 4 26 2" xfId="4915" xr:uid="{00000000-0005-0000-0000-000034130000}"/>
    <cellStyle name="Título 4 26 2 2" xfId="4916" xr:uid="{00000000-0005-0000-0000-000035130000}"/>
    <cellStyle name="Título 4 26 2 3" xfId="4917" xr:uid="{00000000-0005-0000-0000-000036130000}"/>
    <cellStyle name="Título 4 26 3" xfId="4918" xr:uid="{00000000-0005-0000-0000-000037130000}"/>
    <cellStyle name="Título 4 26 4" xfId="4919" xr:uid="{00000000-0005-0000-0000-000038130000}"/>
    <cellStyle name="Título 4 27" xfId="4920" xr:uid="{00000000-0005-0000-0000-000039130000}"/>
    <cellStyle name="Título 4 27 2" xfId="4921" xr:uid="{00000000-0005-0000-0000-00003A130000}"/>
    <cellStyle name="Título 4 27 2 2" xfId="4922" xr:uid="{00000000-0005-0000-0000-00003B130000}"/>
    <cellStyle name="Título 4 27 2 3" xfId="4923" xr:uid="{00000000-0005-0000-0000-00003C130000}"/>
    <cellStyle name="Título 4 27 3" xfId="4924" xr:uid="{00000000-0005-0000-0000-00003D130000}"/>
    <cellStyle name="Título 4 27 4" xfId="4925" xr:uid="{00000000-0005-0000-0000-00003E130000}"/>
    <cellStyle name="Título 4 28" xfId="4926" xr:uid="{00000000-0005-0000-0000-00003F130000}"/>
    <cellStyle name="Título 4 28 2" xfId="4927" xr:uid="{00000000-0005-0000-0000-000040130000}"/>
    <cellStyle name="Título 4 28 2 2" xfId="4928" xr:uid="{00000000-0005-0000-0000-000041130000}"/>
    <cellStyle name="Título 4 28 2 3" xfId="4929" xr:uid="{00000000-0005-0000-0000-000042130000}"/>
    <cellStyle name="Título 4 28 3" xfId="4930" xr:uid="{00000000-0005-0000-0000-000043130000}"/>
    <cellStyle name="Título 4 28 4" xfId="4931" xr:uid="{00000000-0005-0000-0000-000044130000}"/>
    <cellStyle name="Título 4 29" xfId="4932" xr:uid="{00000000-0005-0000-0000-000045130000}"/>
    <cellStyle name="Título 4 29 2" xfId="4933" xr:uid="{00000000-0005-0000-0000-000046130000}"/>
    <cellStyle name="Título 4 29 2 2" xfId="4934" xr:uid="{00000000-0005-0000-0000-000047130000}"/>
    <cellStyle name="Título 4 29 2 3" xfId="4935" xr:uid="{00000000-0005-0000-0000-000048130000}"/>
    <cellStyle name="Título 4 29 3" xfId="4936" xr:uid="{00000000-0005-0000-0000-000049130000}"/>
    <cellStyle name="Título 4 29 4" xfId="4937" xr:uid="{00000000-0005-0000-0000-00004A130000}"/>
    <cellStyle name="Título 4 3" xfId="4938" xr:uid="{00000000-0005-0000-0000-00004B130000}"/>
    <cellStyle name="Título 4 3 2" xfId="4939" xr:uid="{00000000-0005-0000-0000-00004C130000}"/>
    <cellStyle name="Título 4 3 2 2" xfId="4940" xr:uid="{00000000-0005-0000-0000-00004D130000}"/>
    <cellStyle name="Título 4 3 2 3" xfId="4941" xr:uid="{00000000-0005-0000-0000-00004E130000}"/>
    <cellStyle name="Título 4 3 3" xfId="4942" xr:uid="{00000000-0005-0000-0000-00004F130000}"/>
    <cellStyle name="Título 4 3 4" xfId="4943" xr:uid="{00000000-0005-0000-0000-000050130000}"/>
    <cellStyle name="Título 4 30" xfId="4944" xr:uid="{00000000-0005-0000-0000-000051130000}"/>
    <cellStyle name="Título 4 30 2" xfId="4945" xr:uid="{00000000-0005-0000-0000-000052130000}"/>
    <cellStyle name="Título 4 30 2 2" xfId="4946" xr:uid="{00000000-0005-0000-0000-000053130000}"/>
    <cellStyle name="Título 4 30 2 3" xfId="4947" xr:uid="{00000000-0005-0000-0000-000054130000}"/>
    <cellStyle name="Título 4 30 3" xfId="4948" xr:uid="{00000000-0005-0000-0000-000055130000}"/>
    <cellStyle name="Título 4 30 4" xfId="4949" xr:uid="{00000000-0005-0000-0000-000056130000}"/>
    <cellStyle name="Título 4 31" xfId="4950" xr:uid="{00000000-0005-0000-0000-000057130000}"/>
    <cellStyle name="Título 4 31 2" xfId="4951" xr:uid="{00000000-0005-0000-0000-000058130000}"/>
    <cellStyle name="Título 4 31 2 2" xfId="4952" xr:uid="{00000000-0005-0000-0000-000059130000}"/>
    <cellStyle name="Título 4 31 2 3" xfId="4953" xr:uid="{00000000-0005-0000-0000-00005A130000}"/>
    <cellStyle name="Título 4 31 3" xfId="4954" xr:uid="{00000000-0005-0000-0000-00005B130000}"/>
    <cellStyle name="Título 4 31 4" xfId="4955" xr:uid="{00000000-0005-0000-0000-00005C130000}"/>
    <cellStyle name="Título 4 32" xfId="4956" xr:uid="{00000000-0005-0000-0000-00005D130000}"/>
    <cellStyle name="Título 4 32 2" xfId="4957" xr:uid="{00000000-0005-0000-0000-00005E130000}"/>
    <cellStyle name="Título 4 32 2 2" xfId="4958" xr:uid="{00000000-0005-0000-0000-00005F130000}"/>
    <cellStyle name="Título 4 32 2 3" xfId="4959" xr:uid="{00000000-0005-0000-0000-000060130000}"/>
    <cellStyle name="Título 4 32 3" xfId="4960" xr:uid="{00000000-0005-0000-0000-000061130000}"/>
    <cellStyle name="Título 4 32 4" xfId="4961" xr:uid="{00000000-0005-0000-0000-000062130000}"/>
    <cellStyle name="Título 4 33" xfId="4962" xr:uid="{00000000-0005-0000-0000-000063130000}"/>
    <cellStyle name="Título 4 33 2" xfId="4963" xr:uid="{00000000-0005-0000-0000-000064130000}"/>
    <cellStyle name="Título 4 33 2 2" xfId="4964" xr:uid="{00000000-0005-0000-0000-000065130000}"/>
    <cellStyle name="Título 4 33 2 3" xfId="4965" xr:uid="{00000000-0005-0000-0000-000066130000}"/>
    <cellStyle name="Título 4 33 3" xfId="4966" xr:uid="{00000000-0005-0000-0000-000067130000}"/>
    <cellStyle name="Título 4 33 4" xfId="4967" xr:uid="{00000000-0005-0000-0000-000068130000}"/>
    <cellStyle name="Título 4 34" xfId="4968" xr:uid="{00000000-0005-0000-0000-000069130000}"/>
    <cellStyle name="Título 4 34 2" xfId="4969" xr:uid="{00000000-0005-0000-0000-00006A130000}"/>
    <cellStyle name="Título 4 34 2 2" xfId="4970" xr:uid="{00000000-0005-0000-0000-00006B130000}"/>
    <cellStyle name="Título 4 34 2 3" xfId="4971" xr:uid="{00000000-0005-0000-0000-00006C130000}"/>
    <cellStyle name="Título 4 34 3" xfId="4972" xr:uid="{00000000-0005-0000-0000-00006D130000}"/>
    <cellStyle name="Título 4 34 4" xfId="4973" xr:uid="{00000000-0005-0000-0000-00006E130000}"/>
    <cellStyle name="Título 4 35" xfId="4974" xr:uid="{00000000-0005-0000-0000-00006F130000}"/>
    <cellStyle name="Título 4 35 2" xfId="4975" xr:uid="{00000000-0005-0000-0000-000070130000}"/>
    <cellStyle name="Título 4 35 2 2" xfId="4976" xr:uid="{00000000-0005-0000-0000-000071130000}"/>
    <cellStyle name="Título 4 35 2 3" xfId="4977" xr:uid="{00000000-0005-0000-0000-000072130000}"/>
    <cellStyle name="Título 4 35 3" xfId="4978" xr:uid="{00000000-0005-0000-0000-000073130000}"/>
    <cellStyle name="Título 4 35 4" xfId="4979" xr:uid="{00000000-0005-0000-0000-000074130000}"/>
    <cellStyle name="Título 4 36" xfId="4980" xr:uid="{00000000-0005-0000-0000-000075130000}"/>
    <cellStyle name="Título 4 36 2" xfId="4981" xr:uid="{00000000-0005-0000-0000-000076130000}"/>
    <cellStyle name="Título 4 36 2 2" xfId="4982" xr:uid="{00000000-0005-0000-0000-000077130000}"/>
    <cellStyle name="Título 4 36 2 3" xfId="4983" xr:uid="{00000000-0005-0000-0000-000078130000}"/>
    <cellStyle name="Título 4 36 3" xfId="4984" xr:uid="{00000000-0005-0000-0000-000079130000}"/>
    <cellStyle name="Título 4 36 4" xfId="4985" xr:uid="{00000000-0005-0000-0000-00007A130000}"/>
    <cellStyle name="Título 4 37" xfId="4986" xr:uid="{00000000-0005-0000-0000-00007B130000}"/>
    <cellStyle name="Título 4 37 2" xfId="4987" xr:uid="{00000000-0005-0000-0000-00007C130000}"/>
    <cellStyle name="Título 4 37 2 2" xfId="4988" xr:uid="{00000000-0005-0000-0000-00007D130000}"/>
    <cellStyle name="Título 4 37 2 3" xfId="4989" xr:uid="{00000000-0005-0000-0000-00007E130000}"/>
    <cellStyle name="Título 4 37 3" xfId="4990" xr:uid="{00000000-0005-0000-0000-00007F130000}"/>
    <cellStyle name="Título 4 37 4" xfId="4991" xr:uid="{00000000-0005-0000-0000-000080130000}"/>
    <cellStyle name="Título 4 4" xfId="4992" xr:uid="{00000000-0005-0000-0000-000081130000}"/>
    <cellStyle name="Título 4 4 2" xfId="4993" xr:uid="{00000000-0005-0000-0000-000082130000}"/>
    <cellStyle name="Título 4 4 2 2" xfId="4994" xr:uid="{00000000-0005-0000-0000-000083130000}"/>
    <cellStyle name="Título 4 4 2 3" xfId="4995" xr:uid="{00000000-0005-0000-0000-000084130000}"/>
    <cellStyle name="Título 4 4 3" xfId="4996" xr:uid="{00000000-0005-0000-0000-000085130000}"/>
    <cellStyle name="Título 4 4 4" xfId="4997" xr:uid="{00000000-0005-0000-0000-000086130000}"/>
    <cellStyle name="Título 4 5" xfId="4998" xr:uid="{00000000-0005-0000-0000-000087130000}"/>
    <cellStyle name="Título 4 5 2" xfId="4999" xr:uid="{00000000-0005-0000-0000-000088130000}"/>
    <cellStyle name="Título 4 5 2 2" xfId="5000" xr:uid="{00000000-0005-0000-0000-000089130000}"/>
    <cellStyle name="Título 4 5 2 3" xfId="5001" xr:uid="{00000000-0005-0000-0000-00008A130000}"/>
    <cellStyle name="Título 4 5 3" xfId="5002" xr:uid="{00000000-0005-0000-0000-00008B130000}"/>
    <cellStyle name="Título 4 5 4" xfId="5003" xr:uid="{00000000-0005-0000-0000-00008C130000}"/>
    <cellStyle name="Título 4 6" xfId="5004" xr:uid="{00000000-0005-0000-0000-00008D130000}"/>
    <cellStyle name="Título 4 6 2" xfId="5005" xr:uid="{00000000-0005-0000-0000-00008E130000}"/>
    <cellStyle name="Título 4 6 2 2" xfId="5006" xr:uid="{00000000-0005-0000-0000-00008F130000}"/>
    <cellStyle name="Título 4 6 2 3" xfId="5007" xr:uid="{00000000-0005-0000-0000-000090130000}"/>
    <cellStyle name="Título 4 6 3" xfId="5008" xr:uid="{00000000-0005-0000-0000-000091130000}"/>
    <cellStyle name="Título 4 6 4" xfId="5009" xr:uid="{00000000-0005-0000-0000-000092130000}"/>
    <cellStyle name="Título 4 7" xfId="5010" xr:uid="{00000000-0005-0000-0000-000093130000}"/>
    <cellStyle name="Título 4 7 2" xfId="5011" xr:uid="{00000000-0005-0000-0000-000094130000}"/>
    <cellStyle name="Título 4 7 2 2" xfId="5012" xr:uid="{00000000-0005-0000-0000-000095130000}"/>
    <cellStyle name="Título 4 7 2 3" xfId="5013" xr:uid="{00000000-0005-0000-0000-000096130000}"/>
    <cellStyle name="Título 4 7 3" xfId="5014" xr:uid="{00000000-0005-0000-0000-000097130000}"/>
    <cellStyle name="Título 4 7 4" xfId="5015" xr:uid="{00000000-0005-0000-0000-000098130000}"/>
    <cellStyle name="Título 4 8" xfId="5016" xr:uid="{00000000-0005-0000-0000-000099130000}"/>
    <cellStyle name="Título 4 8 2" xfId="5017" xr:uid="{00000000-0005-0000-0000-00009A130000}"/>
    <cellStyle name="Título 4 8 2 2" xfId="5018" xr:uid="{00000000-0005-0000-0000-00009B130000}"/>
    <cellStyle name="Título 4 8 2 3" xfId="5019" xr:uid="{00000000-0005-0000-0000-00009C130000}"/>
    <cellStyle name="Título 4 8 3" xfId="5020" xr:uid="{00000000-0005-0000-0000-00009D130000}"/>
    <cellStyle name="Título 4 8 4" xfId="5021" xr:uid="{00000000-0005-0000-0000-00009E130000}"/>
    <cellStyle name="Título 4 9" xfId="5022" xr:uid="{00000000-0005-0000-0000-00009F130000}"/>
    <cellStyle name="Título 4 9 2" xfId="5023" xr:uid="{00000000-0005-0000-0000-0000A0130000}"/>
    <cellStyle name="Título 4 9 2 2" xfId="5024" xr:uid="{00000000-0005-0000-0000-0000A1130000}"/>
    <cellStyle name="Título 4 9 2 3" xfId="5025" xr:uid="{00000000-0005-0000-0000-0000A2130000}"/>
    <cellStyle name="Título 4 9 3" xfId="5026" xr:uid="{00000000-0005-0000-0000-0000A3130000}"/>
    <cellStyle name="Título 4 9 4" xfId="5027" xr:uid="{00000000-0005-0000-0000-0000A4130000}"/>
    <cellStyle name="Título 5" xfId="5028" xr:uid="{00000000-0005-0000-0000-0000A5130000}"/>
    <cellStyle name="Título 5 2" xfId="5029" xr:uid="{00000000-0005-0000-0000-0000A6130000}"/>
    <cellStyle name="Título 5 3" xfId="5030" xr:uid="{00000000-0005-0000-0000-0000A7130000}"/>
    <cellStyle name="Total 2" xfId="5031" xr:uid="{00000000-0005-0000-0000-0000A8130000}"/>
    <cellStyle name="Total 2 2" xfId="5032" xr:uid="{00000000-0005-0000-0000-0000A9130000}"/>
    <cellStyle name="Total 2 3" xfId="5033" xr:uid="{00000000-0005-0000-0000-0000AA130000}"/>
    <cellStyle name="Vírgula" xfId="44" builtinId="3"/>
    <cellStyle name="Vírgula 2" xfId="159" xr:uid="{00000000-0005-0000-0000-0000AC130000}"/>
    <cellStyle name="Vírgula 2 2" xfId="5034" xr:uid="{00000000-0005-0000-0000-0000AD130000}"/>
    <cellStyle name="Vírgula 2 2 2" xfId="5035" xr:uid="{00000000-0005-0000-0000-0000AE130000}"/>
    <cellStyle name="Vírgula 2 3" xfId="5036" xr:uid="{00000000-0005-0000-0000-0000AF130000}"/>
    <cellStyle name="Vírgula 3" xfId="181" xr:uid="{00000000-0005-0000-0000-0000B0130000}"/>
    <cellStyle name="Vírgula 3 2" xfId="5037" xr:uid="{00000000-0005-0000-0000-0000B1130000}"/>
    <cellStyle name="Vírgula 4" xfId="5038" xr:uid="{00000000-0005-0000-0000-0000B2130000}"/>
    <cellStyle name="Vírgula 5" xfId="5041" xr:uid="{00000000-0005-0000-0000-0000B3130000}"/>
    <cellStyle name="Vírgula 6" xfId="5045" xr:uid="{00000000-0005-0000-0000-0000B4130000}"/>
    <cellStyle name="Warning Text" xfId="89" xr:uid="{00000000-0005-0000-0000-0000B5130000}"/>
  </cellStyles>
  <dxfs count="0"/>
  <tableStyles count="0" defaultTableStyle="TableStyleMedium9" defaultPivotStyle="PivotStyleLight16"/>
  <colors>
    <mruColors>
      <color rgb="FFCCFF33"/>
      <color rgb="FFCCFF99"/>
      <color rgb="FFFFFF66"/>
      <color rgb="FFCCECFF"/>
      <color rgb="FFCCFFCC"/>
      <color rgb="FFFF66CC"/>
      <color rgb="FFFF967D"/>
      <color rgb="FFFFCC00"/>
      <color rgb="FFACDEA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371475</xdr:colOff>
      <xdr:row>0</xdr:row>
      <xdr:rowOff>559454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C96F438-8E7E-4858-A8E3-B8940FF09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7150"/>
          <a:ext cx="990600" cy="5023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545505</xdr:colOff>
      <xdr:row>0</xdr:row>
      <xdr:rowOff>647700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81D75A6-AE01-49AA-AF9F-4DD268C08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164630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142875</xdr:rowOff>
    </xdr:from>
    <xdr:to>
      <xdr:col>1</xdr:col>
      <xdr:colOff>247849</xdr:colOff>
      <xdr:row>2</xdr:row>
      <xdr:rowOff>742950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5CF162A-85C7-4C06-B753-7FD769701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61938"/>
          <a:ext cx="1164630" cy="600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ENGERP%20-%20PROJETOS/Unimed/Usina%20de%20Energia/Or&#231;amentos/Usina%20de%20Energia_Rev.01_0109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Memorial"/>
      <sheetName val="ADM-0001"/>
      <sheetName val="ADM-0002"/>
      <sheetName val="CAN-0001"/>
      <sheetName val="CAN-0002"/>
      <sheetName val="CAN-0003"/>
      <sheetName val="CAN-0004"/>
      <sheetName val="TRANS-0001"/>
      <sheetName val="TRANS-0002"/>
      <sheetName val="TRANS-0003"/>
      <sheetName val="FUND-001"/>
      <sheetName val="PISO-001"/>
      <sheetName val="HID-0003"/>
      <sheetName val="HID-0004"/>
      <sheetName val="HID-0005"/>
      <sheetName val="HID-0006"/>
      <sheetName val="HID-0007"/>
      <sheetName val="HID-0008"/>
      <sheetName val="HID-0009"/>
      <sheetName val="HID-0010"/>
      <sheetName val="IO-141101"/>
      <sheetName val="INS-0001"/>
      <sheetName val="HID 0011"/>
      <sheetName val="EL-0019"/>
      <sheetName val="EL-0001"/>
      <sheetName val="EL-0002"/>
      <sheetName val="EL-0003"/>
      <sheetName val="EL-0004"/>
      <sheetName val="EL-0005"/>
      <sheetName val="EL-0006"/>
      <sheetName val="EL-0007"/>
      <sheetName val="EL-0061"/>
      <sheetName val="EL-0062"/>
      <sheetName val="EL-0018"/>
      <sheetName val="EL-0008"/>
      <sheetName val="EL-0009"/>
      <sheetName val="EL-0056"/>
      <sheetName val="EL-0011"/>
      <sheetName val="EL-0057"/>
      <sheetName val="EL-0012"/>
      <sheetName val="EL-0013"/>
      <sheetName val="EL-0058"/>
      <sheetName val="EL-0059"/>
      <sheetName val="EL-0036"/>
      <sheetName val="EL-0037"/>
      <sheetName val="EL-0041"/>
      <sheetName val="EL-0042"/>
      <sheetName val="EL-0043"/>
      <sheetName val="EL-0044"/>
      <sheetName val="EL-0045"/>
      <sheetName val="EL-0015"/>
      <sheetName val="EL-0021"/>
      <sheetName val="EL-0022"/>
      <sheetName val="EL-0023"/>
      <sheetName val="EL-0024"/>
      <sheetName val="EL-0025"/>
      <sheetName val="EL-0026"/>
      <sheetName val="EL-0027"/>
      <sheetName val="EL-0028"/>
      <sheetName val="EL-CP 80x80x50"/>
      <sheetName val="EL-CP 80x80x20"/>
      <sheetName val="EL-CP 40x40x20"/>
      <sheetName val="EL-tubo 6"/>
      <sheetName val="EL-leito1100"/>
      <sheetName val="EL-leito400"/>
      <sheetName val="EL-0010"/>
      <sheetName val="EL-aterramento"/>
      <sheetName val="EL-TAP"/>
      <sheetName val="INC 0006"/>
      <sheetName val="ID-0002"/>
      <sheetName val="FOR-0001"/>
      <sheetName val="INC 0002"/>
      <sheetName val="INC 0003"/>
      <sheetName val="INC 0004"/>
      <sheetName val="INC 0005"/>
      <sheetName val="UNI 0016"/>
      <sheetName val="UNI 0017"/>
      <sheetName val="VID-001"/>
      <sheetName val="GRAN-001"/>
      <sheetName val="Entulho"/>
      <sheetName val="Insumos"/>
      <sheetName val="Paredes"/>
      <sheetName val="Estacas"/>
      <sheetName val="Infra-estrutura"/>
      <sheetName val="Super-estrutura"/>
      <sheetName val="Luminárias"/>
      <sheetName val="Hidrossanitário"/>
      <sheetName val="SAO"/>
      <sheetName val="Muro"/>
      <sheetName val="BDI"/>
      <sheetName val="DADOS"/>
      <sheetName val="Q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I10">
            <v>0.06</v>
          </cell>
        </row>
        <row r="11">
          <cell r="I11">
            <v>4.3E-3</v>
          </cell>
        </row>
        <row r="12">
          <cell r="I12">
            <v>4.4999999999999997E-3</v>
          </cell>
        </row>
        <row r="13">
          <cell r="I13">
            <v>0.01</v>
          </cell>
        </row>
        <row r="16">
          <cell r="I16">
            <v>9.6500000000000016E-2</v>
          </cell>
        </row>
        <row r="22">
          <cell r="I22">
            <v>9.5600000000000004E-2</v>
          </cell>
        </row>
        <row r="25">
          <cell r="I25">
            <v>0.30900614587714448</v>
          </cell>
        </row>
      </sheetData>
      <sheetData sheetId="91">
        <row r="2">
          <cell r="B2">
            <v>128.33000000000001</v>
          </cell>
        </row>
      </sheetData>
      <sheetData sheetId="9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37"/>
  <sheetViews>
    <sheetView showGridLines="0" workbookViewId="0">
      <selection activeCell="I33" sqref="I33"/>
    </sheetView>
  </sheetViews>
  <sheetFormatPr defaultRowHeight="15"/>
  <cols>
    <col min="1" max="1" width="10.85546875" style="12" customWidth="1"/>
    <col min="2" max="2" width="70.5703125" style="12" customWidth="1"/>
    <col min="3" max="3" width="12.7109375" style="12" customWidth="1"/>
    <col min="4" max="4" width="13.28515625" style="12" customWidth="1"/>
    <col min="5" max="5" width="17.85546875" style="12" customWidth="1"/>
    <col min="6" max="6" width="6.42578125" style="2" customWidth="1"/>
    <col min="7" max="7" width="30.7109375" style="12" customWidth="1"/>
    <col min="8" max="16384" width="9.140625" style="12"/>
  </cols>
  <sheetData>
    <row r="1" spans="1:8" ht="48.75" customHeight="1">
      <c r="A1" s="146" t="s">
        <v>159</v>
      </c>
      <c r="B1" s="146"/>
      <c r="C1" s="146"/>
      <c r="D1" s="146"/>
      <c r="E1" s="146"/>
      <c r="F1" s="6"/>
    </row>
    <row r="2" spans="1:8" ht="19.5" customHeight="1">
      <c r="A2" s="37" t="s">
        <v>0</v>
      </c>
      <c r="B2" s="39" t="s">
        <v>218</v>
      </c>
      <c r="C2" s="40"/>
      <c r="D2" s="44" t="s">
        <v>17</v>
      </c>
      <c r="E2" s="45" t="str">
        <f>'Planilha analítica'!J2</f>
        <v>710,00m²</v>
      </c>
      <c r="F2" s="280" t="s">
        <v>1168</v>
      </c>
      <c r="G2" s="281"/>
      <c r="H2" s="281"/>
    </row>
    <row r="3" spans="1:8" ht="19.5" customHeight="1">
      <c r="A3" s="37" t="s">
        <v>95</v>
      </c>
      <c r="B3" s="39" t="s">
        <v>219</v>
      </c>
      <c r="C3" s="40"/>
      <c r="D3" s="44" t="s">
        <v>98</v>
      </c>
      <c r="E3" s="46">
        <f>'Planilha analítica'!J3</f>
        <v>1.1519999999999999</v>
      </c>
      <c r="F3" s="280"/>
      <c r="G3" s="281"/>
      <c r="H3" s="281"/>
    </row>
    <row r="4" spans="1:8" ht="19.5" customHeight="1">
      <c r="A4" s="37" t="s">
        <v>96</v>
      </c>
      <c r="B4" s="147" t="s">
        <v>220</v>
      </c>
      <c r="C4" s="148"/>
      <c r="D4" s="149" t="s">
        <v>97</v>
      </c>
      <c r="E4" s="48">
        <f>'Planilha analítica'!J4</f>
        <v>0.3</v>
      </c>
      <c r="F4" s="280"/>
      <c r="G4" s="281"/>
      <c r="H4" s="281"/>
    </row>
    <row r="5" spans="1:8" ht="15" customHeight="1">
      <c r="A5" s="150" t="s">
        <v>145</v>
      </c>
      <c r="B5" s="151" t="s">
        <v>146</v>
      </c>
      <c r="C5" s="152"/>
      <c r="D5" s="153"/>
      <c r="E5" s="153" t="s">
        <v>147</v>
      </c>
      <c r="F5" s="280" t="s">
        <v>1168</v>
      </c>
      <c r="G5" s="281"/>
      <c r="H5" s="281"/>
    </row>
    <row r="6" spans="1:8" ht="12.75" customHeight="1">
      <c r="A6" s="150"/>
      <c r="B6" s="154"/>
      <c r="C6" s="155"/>
      <c r="D6" s="156"/>
      <c r="E6" s="157"/>
      <c r="F6" s="280"/>
      <c r="G6" s="281"/>
      <c r="H6" s="281"/>
    </row>
    <row r="7" spans="1:8" s="5" customFormat="1" ht="20.25" customHeight="1">
      <c r="A7" s="158" t="s">
        <v>1</v>
      </c>
      <c r="B7" s="159" t="str">
        <f>'Planilha analítica'!C7</f>
        <v>ADMINSTRAÇÃO DA OBRA</v>
      </c>
      <c r="C7" s="160"/>
      <c r="D7" s="160"/>
      <c r="E7" s="161">
        <f ca="1">'Planilha analítica'!J7</f>
        <v>174314.22293610004</v>
      </c>
      <c r="F7" s="280"/>
      <c r="G7" s="281"/>
      <c r="H7" s="281"/>
    </row>
    <row r="8" spans="1:8" s="5" customFormat="1" ht="20.25" customHeight="1">
      <c r="A8" s="158" t="s">
        <v>2</v>
      </c>
      <c r="B8" s="159" t="str">
        <f>'Planilha analítica'!C27</f>
        <v xml:space="preserve">SERVIÇOS PRELIMARES </v>
      </c>
      <c r="C8" s="160"/>
      <c r="D8" s="160"/>
      <c r="E8" s="161">
        <f ca="1">'Planilha analítica'!J27</f>
        <v>11150.170330000001</v>
      </c>
      <c r="F8" s="280" t="s">
        <v>1168</v>
      </c>
      <c r="G8" s="281"/>
      <c r="H8" s="281"/>
    </row>
    <row r="9" spans="1:8" s="5" customFormat="1" ht="20.25" customHeight="1">
      <c r="A9" s="158" t="s">
        <v>3</v>
      </c>
      <c r="B9" s="159" t="str">
        <f>'Planilha analítica'!C32</f>
        <v>DEMOLIÇÕES E RETIRADAS</v>
      </c>
      <c r="C9" s="160"/>
      <c r="D9" s="160"/>
      <c r="E9" s="161">
        <f ca="1">'Planilha analítica'!J32</f>
        <v>14381.813333333334</v>
      </c>
      <c r="F9" s="280"/>
      <c r="G9" s="281"/>
      <c r="H9" s="281"/>
    </row>
    <row r="10" spans="1:8" s="5" customFormat="1" ht="20.25" customHeight="1">
      <c r="A10" s="158" t="s">
        <v>19</v>
      </c>
      <c r="B10" s="159" t="str">
        <f>'Planilha analítica'!C35</f>
        <v>FECHAMENTOS DE PAREDE</v>
      </c>
      <c r="C10" s="160"/>
      <c r="D10" s="160"/>
      <c r="E10" s="161">
        <f ca="1">'Planilha analítica'!J35</f>
        <v>28811.834999999999</v>
      </c>
      <c r="F10" s="280"/>
      <c r="G10" s="281"/>
      <c r="H10" s="281"/>
    </row>
    <row r="11" spans="1:8" s="5" customFormat="1" ht="20.25" customHeight="1">
      <c r="A11" s="158" t="s">
        <v>23</v>
      </c>
      <c r="B11" s="159" t="str">
        <f>'Planilha analítica'!C42</f>
        <v>IMPERMEABILIZAÇÃO</v>
      </c>
      <c r="C11" s="160"/>
      <c r="D11" s="160"/>
      <c r="E11" s="161">
        <f ca="1">'Planilha analítica'!J42</f>
        <v>1630.3794000000003</v>
      </c>
      <c r="F11" s="280" t="s">
        <v>1168</v>
      </c>
      <c r="G11" s="281"/>
      <c r="H11" s="281"/>
    </row>
    <row r="12" spans="1:8" s="5" customFormat="1" ht="20.25" customHeight="1">
      <c r="A12" s="158" t="s">
        <v>24</v>
      </c>
      <c r="B12" s="159" t="str">
        <f>'Planilha analítica'!C44</f>
        <v>REVESTIMENTO DE PISO</v>
      </c>
      <c r="C12" s="160"/>
      <c r="D12" s="160"/>
      <c r="E12" s="161">
        <f ca="1">'Planilha analítica'!J44</f>
        <v>175824.00563000003</v>
      </c>
      <c r="F12" s="280"/>
      <c r="G12" s="281"/>
      <c r="H12" s="281"/>
    </row>
    <row r="13" spans="1:8" s="5" customFormat="1" ht="20.25" customHeight="1">
      <c r="A13" s="158" t="s">
        <v>25</v>
      </c>
      <c r="B13" s="159" t="str">
        <f>'Planilha analítica'!C60</f>
        <v>REVESTIMENTO DE PAREDE</v>
      </c>
      <c r="C13" s="160"/>
      <c r="D13" s="160"/>
      <c r="E13" s="161">
        <f ca="1">'Planilha analítica'!J60</f>
        <v>55265.978040000016</v>
      </c>
      <c r="F13" s="280"/>
      <c r="G13" s="281"/>
      <c r="H13" s="281"/>
    </row>
    <row r="14" spans="1:8" s="5" customFormat="1" ht="20.25" customHeight="1">
      <c r="A14" s="158" t="s">
        <v>26</v>
      </c>
      <c r="B14" s="159" t="str">
        <f>'Planilha analítica'!C68</f>
        <v>ESQUADRIAS DE MADEIRA</v>
      </c>
      <c r="C14" s="160"/>
      <c r="D14" s="160"/>
      <c r="E14" s="161">
        <f ca="1">'Planilha analítica'!J68</f>
        <v>46366.636999999995</v>
      </c>
      <c r="F14" s="280" t="s">
        <v>1168</v>
      </c>
      <c r="G14" s="281"/>
      <c r="H14" s="281"/>
    </row>
    <row r="15" spans="1:8" s="5" customFormat="1" ht="20.25" customHeight="1">
      <c r="A15" s="158" t="s">
        <v>27</v>
      </c>
      <c r="B15" s="159" t="str">
        <f>'Planilha analítica'!C79</f>
        <v>FORROS</v>
      </c>
      <c r="C15" s="160"/>
      <c r="D15" s="160"/>
      <c r="E15" s="161">
        <f ca="1">'Planilha analítica'!J79</f>
        <v>124131.8</v>
      </c>
      <c r="F15" s="280"/>
      <c r="G15" s="281"/>
      <c r="H15" s="281"/>
    </row>
    <row r="16" spans="1:8" s="5" customFormat="1" ht="20.25" customHeight="1">
      <c r="A16" s="158" t="s">
        <v>28</v>
      </c>
      <c r="B16" s="159" t="str">
        <f>'Planilha analítica'!C84</f>
        <v>PINTURA</v>
      </c>
      <c r="C16" s="160"/>
      <c r="D16" s="160"/>
      <c r="E16" s="161">
        <f ca="1">'Planilha analítica'!J84</f>
        <v>42433.91646</v>
      </c>
      <c r="F16" s="280"/>
      <c r="G16" s="281"/>
      <c r="H16" s="281"/>
    </row>
    <row r="17" spans="1:8" s="5" customFormat="1" ht="20.25" customHeight="1">
      <c r="A17" s="158" t="s">
        <v>29</v>
      </c>
      <c r="B17" s="159" t="str">
        <f>'Planilha analítica'!C94</f>
        <v>BANCADAS DE GRANITO</v>
      </c>
      <c r="C17" s="160"/>
      <c r="D17" s="160"/>
      <c r="E17" s="161">
        <f ca="1">'Planilha analítica'!J94</f>
        <v>5490.5110000000004</v>
      </c>
      <c r="F17" s="280" t="s">
        <v>1168</v>
      </c>
      <c r="G17" s="281"/>
      <c r="H17" s="281"/>
    </row>
    <row r="18" spans="1:8" s="5" customFormat="1" ht="20.25" customHeight="1">
      <c r="A18" s="158" t="s">
        <v>113</v>
      </c>
      <c r="B18" s="159" t="str">
        <f>'Planilha analítica'!C99</f>
        <v>INSTALAÇÕES HIDRO-SANITÁRIAS</v>
      </c>
      <c r="C18" s="160"/>
      <c r="D18" s="160"/>
      <c r="E18" s="161">
        <f ca="1">'Planilha analítica'!J99</f>
        <v>17454.985166666669</v>
      </c>
      <c r="F18" s="280"/>
      <c r="G18" s="281"/>
      <c r="H18" s="281"/>
    </row>
    <row r="19" spans="1:8" s="5" customFormat="1" ht="20.25" customHeight="1">
      <c r="A19" s="158" t="s">
        <v>30</v>
      </c>
      <c r="B19" s="159" t="str">
        <f>'Planilha analítica'!C151</f>
        <v>LOUÇAS E METAIS</v>
      </c>
      <c r="C19" s="160"/>
      <c r="D19" s="160"/>
      <c r="E19" s="161">
        <f ca="1">'Planilha analítica'!J151</f>
        <v>61929.881000000001</v>
      </c>
      <c r="F19" s="280"/>
      <c r="G19" s="281"/>
      <c r="H19" s="281"/>
    </row>
    <row r="20" spans="1:8" s="5" customFormat="1" ht="20.25" customHeight="1">
      <c r="A20" s="158" t="s">
        <v>60</v>
      </c>
      <c r="B20" s="159" t="str">
        <f>'Planilha analítica'!C168</f>
        <v>MISCELÂNEAS</v>
      </c>
      <c r="C20" s="160"/>
      <c r="D20" s="160"/>
      <c r="E20" s="161">
        <f ca="1">'Planilha analítica'!J168</f>
        <v>8516.6640000000007</v>
      </c>
      <c r="F20" s="280" t="s">
        <v>1168</v>
      </c>
      <c r="G20" s="281"/>
      <c r="H20" s="281"/>
    </row>
    <row r="21" spans="1:8" s="5" customFormat="1" ht="20.25" customHeight="1">
      <c r="A21" s="158" t="s">
        <v>61</v>
      </c>
      <c r="B21" s="159" t="str">
        <f>'Planilha analítica'!C177</f>
        <v>INSTALAÇÕES ELÉTRICAS</v>
      </c>
      <c r="C21" s="160"/>
      <c r="D21" s="160"/>
      <c r="E21" s="161">
        <f ca="1">'Planilha analítica'!J177</f>
        <v>150020.66776666662</v>
      </c>
      <c r="F21" s="280"/>
      <c r="G21" s="281"/>
      <c r="H21" s="281"/>
    </row>
    <row r="22" spans="1:8" s="5" customFormat="1" ht="20.25" customHeight="1">
      <c r="A22" s="158" t="s">
        <v>65</v>
      </c>
      <c r="B22" s="159" t="str">
        <f>'Planilha analítica'!C381</f>
        <v>LUMINARIAS</v>
      </c>
      <c r="C22" s="160"/>
      <c r="D22" s="160"/>
      <c r="E22" s="161">
        <f ca="1">'Planilha analítica'!J381</f>
        <v>67866.662933333326</v>
      </c>
      <c r="F22" s="280"/>
      <c r="G22" s="281"/>
      <c r="H22" s="281"/>
    </row>
    <row r="23" spans="1:8" s="5" customFormat="1" ht="20.25" customHeight="1">
      <c r="A23" s="158" t="s">
        <v>71</v>
      </c>
      <c r="B23" s="159" t="str">
        <f>'Planilha analítica'!C393</f>
        <v>CLIMATIZAÇÃO</v>
      </c>
      <c r="C23" s="160"/>
      <c r="D23" s="160"/>
      <c r="E23" s="161">
        <f ca="1">'Planilha analítica'!J393</f>
        <v>179184.07</v>
      </c>
      <c r="F23" s="280" t="s">
        <v>1168</v>
      </c>
      <c r="G23" s="281"/>
      <c r="H23" s="281"/>
    </row>
    <row r="24" spans="1:8" s="5" customFormat="1" ht="20.25" customHeight="1">
      <c r="A24" s="158" t="s">
        <v>114</v>
      </c>
      <c r="B24" s="159" t="str">
        <f>'Planilha analítica'!C397</f>
        <v>INSTALAÇÕES DE COMBATE E PREVENÇÃO DE INCÊNDIO</v>
      </c>
      <c r="C24" s="160"/>
      <c r="D24" s="160"/>
      <c r="E24" s="161">
        <f ca="1">'Planilha analítica'!J397</f>
        <v>8404.5525200000011</v>
      </c>
      <c r="F24" s="280"/>
      <c r="G24" s="281"/>
      <c r="H24" s="281"/>
    </row>
    <row r="25" spans="1:8" s="5" customFormat="1" ht="20.25" customHeight="1">
      <c r="A25" s="158" t="s">
        <v>115</v>
      </c>
      <c r="B25" s="159" t="str">
        <f>'Planilha analítica'!C408</f>
        <v>ESQUADRIA DE VIDRO E DE ALUMINIO</v>
      </c>
      <c r="C25" s="160"/>
      <c r="D25" s="160"/>
      <c r="E25" s="161">
        <f ca="1">'Planilha analítica'!J408</f>
        <v>18394.142000000003</v>
      </c>
      <c r="F25" s="280"/>
      <c r="G25" s="281"/>
      <c r="H25" s="281"/>
    </row>
    <row r="26" spans="1:8" s="5" customFormat="1" ht="20.25" customHeight="1">
      <c r="A26" s="158" t="s">
        <v>116</v>
      </c>
      <c r="B26" s="159" t="str">
        <f>'Planilha analítica'!C418</f>
        <v xml:space="preserve">PAINEL ACÚSTICO </v>
      </c>
      <c r="C26" s="160"/>
      <c r="D26" s="160"/>
      <c r="E26" s="161">
        <f ca="1">'Planilha analítica'!J418</f>
        <v>1205.6631600000001</v>
      </c>
      <c r="F26" s="280" t="s">
        <v>1168</v>
      </c>
      <c r="G26" s="281"/>
      <c r="H26" s="281"/>
    </row>
    <row r="27" spans="1:8" s="5" customFormat="1" ht="20.25" customHeight="1">
      <c r="A27" s="158" t="s">
        <v>117</v>
      </c>
      <c r="B27" s="159" t="str">
        <f>'Planilha analítica'!C420</f>
        <v>PAINEIS E PORTAS MARELLI</v>
      </c>
      <c r="C27" s="160"/>
      <c r="D27" s="160"/>
      <c r="E27" s="161">
        <f ca="1">'Planilha analítica'!J420</f>
        <v>319883.05882000003</v>
      </c>
      <c r="F27" s="280"/>
      <c r="G27" s="281"/>
      <c r="H27" s="281"/>
    </row>
    <row r="28" spans="1:8" s="5" customFormat="1" ht="20.25" customHeight="1">
      <c r="A28" s="158" t="s">
        <v>160</v>
      </c>
      <c r="B28" s="159" t="str">
        <f>'Planilha analítica'!C430</f>
        <v>MOBILIÁRIO</v>
      </c>
      <c r="C28" s="160"/>
      <c r="D28" s="160"/>
      <c r="E28" s="161">
        <f ca="1">'Planilha analítica'!J430</f>
        <v>303398.14700000006</v>
      </c>
      <c r="F28" s="280"/>
      <c r="G28" s="281"/>
      <c r="H28" s="281"/>
    </row>
    <row r="29" spans="1:8" s="5" customFormat="1" ht="20.25" customHeight="1">
      <c r="A29" s="158" t="s">
        <v>170</v>
      </c>
      <c r="B29" s="159" t="str">
        <f>'Planilha analítica'!C451</f>
        <v>MARCENARIA</v>
      </c>
      <c r="C29" s="160"/>
      <c r="D29" s="160"/>
      <c r="E29" s="161">
        <f ca="1">'Planilha analítica'!J451</f>
        <v>232431.342</v>
      </c>
      <c r="F29" s="280" t="s">
        <v>1168</v>
      </c>
      <c r="G29" s="281"/>
      <c r="H29" s="281"/>
    </row>
    <row r="30" spans="1:8" s="5" customFormat="1" ht="20.25" customHeight="1">
      <c r="A30" s="158" t="s">
        <v>172</v>
      </c>
      <c r="B30" s="159" t="str">
        <f>'Planilha analítica'!C472</f>
        <v>EQUIPAMENTOS</v>
      </c>
      <c r="C30" s="160"/>
      <c r="D30" s="160"/>
      <c r="E30" s="161">
        <f ca="1">'Planilha analítica'!J472</f>
        <v>36643.879999999997</v>
      </c>
      <c r="F30" s="280"/>
      <c r="G30" s="281"/>
      <c r="H30" s="281"/>
    </row>
    <row r="31" spans="1:8" s="5" customFormat="1" ht="20.25" customHeight="1">
      <c r="A31" s="158" t="s">
        <v>179</v>
      </c>
      <c r="B31" s="159" t="str">
        <f>'Planilha analítica'!C480</f>
        <v>CORTINA</v>
      </c>
      <c r="C31" s="160"/>
      <c r="D31" s="160"/>
      <c r="E31" s="161">
        <f ca="1">'Planilha analítica'!J480</f>
        <v>87692.293000000005</v>
      </c>
      <c r="F31" s="280"/>
      <c r="G31" s="281"/>
      <c r="H31" s="281"/>
    </row>
    <row r="32" spans="1:8" s="5" customFormat="1" ht="20.25" customHeight="1">
      <c r="A32" s="158" t="s">
        <v>185</v>
      </c>
      <c r="B32" s="159" t="str">
        <f>'Planilha analítica'!C482</f>
        <v>LIMPEZA</v>
      </c>
      <c r="C32" s="160"/>
      <c r="D32" s="160"/>
      <c r="E32" s="161">
        <f ca="1">'Planilha analítica'!J482</f>
        <v>10494.509999999998</v>
      </c>
      <c r="F32" s="280" t="s">
        <v>1168</v>
      </c>
      <c r="G32" s="281"/>
      <c r="H32" s="281"/>
    </row>
    <row r="33" spans="1:8" ht="20.25" customHeight="1">
      <c r="A33" s="162" t="s">
        <v>137</v>
      </c>
      <c r="B33" s="163"/>
      <c r="C33" s="163"/>
      <c r="D33" s="164"/>
      <c r="E33" s="165">
        <f ca="1">SUM(E7:E32)</f>
        <v>2183321.7884960999</v>
      </c>
      <c r="F33" s="280"/>
      <c r="G33" s="281"/>
      <c r="H33" s="281"/>
    </row>
    <row r="34" spans="1:8" ht="20.25" customHeight="1">
      <c r="A34" s="133" t="s">
        <v>17</v>
      </c>
      <c r="B34" s="135"/>
      <c r="C34" s="136"/>
      <c r="D34" s="166">
        <f>'Planilha analítica'!E485</f>
        <v>710</v>
      </c>
      <c r="E34" s="167" t="s">
        <v>4</v>
      </c>
      <c r="F34" s="280"/>
      <c r="G34" s="281"/>
      <c r="H34" s="281"/>
    </row>
    <row r="35" spans="1:8" ht="20.25" customHeight="1">
      <c r="A35" s="142" t="s">
        <v>20</v>
      </c>
      <c r="B35" s="135"/>
      <c r="C35" s="136"/>
      <c r="D35" s="168">
        <f ca="1">E33/D34</f>
        <v>3075.1011105578873</v>
      </c>
      <c r="E35" s="167" t="s">
        <v>18</v>
      </c>
      <c r="F35" s="280" t="s">
        <v>1168</v>
      </c>
      <c r="G35" s="281"/>
      <c r="H35" s="281"/>
    </row>
    <row r="36" spans="1:8">
      <c r="F36" s="280"/>
      <c r="G36" s="281"/>
      <c r="H36" s="281"/>
    </row>
    <row r="37" spans="1:8">
      <c r="F37" s="280"/>
      <c r="G37" s="281"/>
      <c r="H37" s="281"/>
    </row>
  </sheetData>
  <mergeCells count="21">
    <mergeCell ref="F32:H34"/>
    <mergeCell ref="F35:H37"/>
    <mergeCell ref="F17:H19"/>
    <mergeCell ref="F20:H22"/>
    <mergeCell ref="F23:H25"/>
    <mergeCell ref="F26:H28"/>
    <mergeCell ref="F29:H31"/>
    <mergeCell ref="F2:H4"/>
    <mergeCell ref="F5:H7"/>
    <mergeCell ref="F8:H10"/>
    <mergeCell ref="F11:H13"/>
    <mergeCell ref="F14:H16"/>
    <mergeCell ref="A5:A6"/>
    <mergeCell ref="B5:B6"/>
    <mergeCell ref="C5:C6"/>
    <mergeCell ref="A1:E1"/>
    <mergeCell ref="D5:D6"/>
    <mergeCell ref="E5:E6"/>
    <mergeCell ref="B2:C2"/>
    <mergeCell ref="B3:C3"/>
    <mergeCell ref="B4:C4"/>
  </mergeCells>
  <phoneticPr fontId="29" type="noConversion"/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T492"/>
  <sheetViews>
    <sheetView tabSelected="1" topLeftCell="A11" zoomScaleNormal="100" zoomScaleSheetLayoutView="90" workbookViewId="0">
      <selection activeCell="K201" sqref="K111:M203"/>
    </sheetView>
  </sheetViews>
  <sheetFormatPr defaultRowHeight="15" outlineLevelRow="1"/>
  <cols>
    <col min="1" max="1" width="10.85546875" customWidth="1"/>
    <col min="2" max="2" width="9.42578125" style="12" customWidth="1"/>
    <col min="3" max="3" width="62.28515625" customWidth="1"/>
    <col min="4" max="4" width="6.85546875" customWidth="1"/>
    <col min="5" max="5" width="11.5703125" bestFit="1" customWidth="1"/>
    <col min="6" max="6" width="11.28515625" style="34" bestFit="1" customWidth="1"/>
    <col min="7" max="7" width="10.5703125" style="34" bestFit="1" customWidth="1"/>
    <col min="8" max="8" width="11.28515625" style="12" customWidth="1"/>
    <col min="9" max="9" width="11.42578125" style="4" customWidth="1"/>
    <col min="10" max="10" width="17.42578125" style="34" bestFit="1" customWidth="1"/>
    <col min="11" max="11" width="30.7109375" customWidth="1"/>
  </cols>
  <sheetData>
    <row r="1" spans="1:13" s="12" customFormat="1" ht="56.2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  <c r="K1" s="279" t="s">
        <v>1168</v>
      </c>
      <c r="L1" s="279"/>
      <c r="M1" s="279"/>
    </row>
    <row r="2" spans="1:13" s="12" customFormat="1" ht="18" customHeight="1">
      <c r="A2" s="37" t="s">
        <v>0</v>
      </c>
      <c r="B2" s="38"/>
      <c r="C2" s="39" t="s">
        <v>218</v>
      </c>
      <c r="D2" s="40"/>
      <c r="E2" s="40"/>
      <c r="F2" s="41"/>
      <c r="G2" s="42"/>
      <c r="H2" s="43"/>
      <c r="I2" s="44" t="s">
        <v>17</v>
      </c>
      <c r="J2" s="45" t="s">
        <v>222</v>
      </c>
      <c r="K2" s="280" t="s">
        <v>1168</v>
      </c>
      <c r="L2" s="281"/>
      <c r="M2" s="281"/>
    </row>
    <row r="3" spans="1:13" s="12" customFormat="1" ht="16.5" customHeight="1">
      <c r="A3" s="37" t="s">
        <v>95</v>
      </c>
      <c r="B3" s="38"/>
      <c r="C3" s="39" t="s">
        <v>219</v>
      </c>
      <c r="D3" s="40"/>
      <c r="E3" s="40"/>
      <c r="F3" s="41"/>
      <c r="G3" s="42"/>
      <c r="H3" s="43"/>
      <c r="I3" s="44" t="s">
        <v>98</v>
      </c>
      <c r="J3" s="46">
        <v>1.1519999999999999</v>
      </c>
      <c r="K3" s="280"/>
      <c r="L3" s="281"/>
      <c r="M3" s="281"/>
    </row>
    <row r="4" spans="1:13" s="12" customFormat="1" ht="15.75" customHeight="1">
      <c r="A4" s="37" t="s">
        <v>96</v>
      </c>
      <c r="B4" s="38"/>
      <c r="C4" s="39" t="s">
        <v>220</v>
      </c>
      <c r="D4" s="40"/>
      <c r="E4" s="40"/>
      <c r="F4" s="41"/>
      <c r="G4" s="42"/>
      <c r="H4" s="43"/>
      <c r="I4" s="47" t="s">
        <v>97</v>
      </c>
      <c r="J4" s="48">
        <v>0.3</v>
      </c>
      <c r="K4" s="280"/>
      <c r="L4" s="281"/>
      <c r="M4" s="281"/>
    </row>
    <row r="5" spans="1:13">
      <c r="A5" s="49" t="s">
        <v>145</v>
      </c>
      <c r="B5" s="50" t="s">
        <v>150</v>
      </c>
      <c r="C5" s="49" t="s">
        <v>146</v>
      </c>
      <c r="D5" s="49" t="s">
        <v>141</v>
      </c>
      <c r="E5" s="49" t="s">
        <v>140</v>
      </c>
      <c r="F5" s="51" t="s">
        <v>144</v>
      </c>
      <c r="G5" s="51"/>
      <c r="H5" s="52"/>
      <c r="I5" s="50" t="s">
        <v>148</v>
      </c>
      <c r="J5" s="53" t="s">
        <v>147</v>
      </c>
      <c r="K5" s="280" t="s">
        <v>1168</v>
      </c>
      <c r="L5" s="281"/>
      <c r="M5" s="281"/>
    </row>
    <row r="6" spans="1:13" s="12" customFormat="1" ht="24.95" customHeight="1">
      <c r="A6" s="49"/>
      <c r="B6" s="54"/>
      <c r="C6" s="49"/>
      <c r="D6" s="49"/>
      <c r="E6" s="49"/>
      <c r="F6" s="55" t="s">
        <v>143</v>
      </c>
      <c r="G6" s="55" t="s">
        <v>142</v>
      </c>
      <c r="H6" s="56" t="s">
        <v>149</v>
      </c>
      <c r="I6" s="54"/>
      <c r="J6" s="57"/>
      <c r="K6" s="280"/>
      <c r="L6" s="281"/>
      <c r="M6" s="281"/>
    </row>
    <row r="7" spans="1:13" s="12" customFormat="1">
      <c r="A7" s="58" t="s">
        <v>1</v>
      </c>
      <c r="B7" s="58"/>
      <c r="C7" s="59" t="s">
        <v>79</v>
      </c>
      <c r="D7" s="59"/>
      <c r="E7" s="59"/>
      <c r="F7" s="60"/>
      <c r="G7" s="60"/>
      <c r="H7" s="61"/>
      <c r="I7" s="61"/>
      <c r="J7" s="62">
        <f ca="1">SUM(OFFSET(J7,1,,,):OFFSET(J27,-1,,,))</f>
        <v>174314.22293610004</v>
      </c>
      <c r="K7" s="280"/>
      <c r="L7" s="281"/>
      <c r="M7" s="281"/>
    </row>
    <row r="8" spans="1:13" s="4" customFormat="1" outlineLevel="1">
      <c r="A8" s="63" t="s">
        <v>44</v>
      </c>
      <c r="B8" s="63"/>
      <c r="C8" s="64" t="s">
        <v>80</v>
      </c>
      <c r="D8" s="65"/>
      <c r="E8" s="66"/>
      <c r="F8" s="67"/>
      <c r="G8" s="67"/>
      <c r="H8" s="68"/>
      <c r="I8" s="68"/>
      <c r="J8" s="69">
        <f>E8*F8</f>
        <v>0</v>
      </c>
      <c r="K8" s="280" t="s">
        <v>1168</v>
      </c>
      <c r="L8" s="281"/>
      <c r="M8" s="281"/>
    </row>
    <row r="9" spans="1:13" s="4" customFormat="1" ht="16.5" customHeight="1" outlineLevel="1">
      <c r="A9" s="70" t="s">
        <v>81</v>
      </c>
      <c r="B9" s="71" t="s">
        <v>577</v>
      </c>
      <c r="C9" s="72" t="s">
        <v>9</v>
      </c>
      <c r="D9" s="73" t="s">
        <v>7</v>
      </c>
      <c r="E9" s="74">
        <v>1</v>
      </c>
      <c r="F9" s="75">
        <v>355.75</v>
      </c>
      <c r="G9" s="75">
        <v>0</v>
      </c>
      <c r="H9" s="75">
        <f>F9+G9</f>
        <v>355.75</v>
      </c>
      <c r="I9" s="76">
        <f t="shared" ref="I9" si="0">H9*(1+$J$4)</f>
        <v>462.47500000000002</v>
      </c>
      <c r="J9" s="77">
        <f>E9*I9</f>
        <v>462.47500000000002</v>
      </c>
      <c r="K9" s="280"/>
      <c r="L9" s="281"/>
      <c r="M9" s="281"/>
    </row>
    <row r="10" spans="1:13" s="12" customFormat="1" ht="16.5" customHeight="1" outlineLevel="1">
      <c r="A10" s="70" t="s">
        <v>589</v>
      </c>
      <c r="B10" s="71" t="s">
        <v>577</v>
      </c>
      <c r="C10" s="72" t="s">
        <v>590</v>
      </c>
      <c r="D10" s="73" t="s">
        <v>7</v>
      </c>
      <c r="E10" s="74">
        <v>1</v>
      </c>
      <c r="F10" s="75">
        <v>300</v>
      </c>
      <c r="G10" s="75">
        <v>0</v>
      </c>
      <c r="H10" s="75">
        <f>F10+G10</f>
        <v>300</v>
      </c>
      <c r="I10" s="76">
        <f t="shared" ref="I10" si="1">H10*(1+$J$4)</f>
        <v>390</v>
      </c>
      <c r="J10" s="77">
        <f>E10*I10</f>
        <v>390</v>
      </c>
      <c r="K10" s="280"/>
      <c r="L10" s="281"/>
      <c r="M10" s="281"/>
    </row>
    <row r="11" spans="1:13" s="12" customFormat="1" ht="16.5" customHeight="1" outlineLevel="1">
      <c r="A11" s="70" t="s">
        <v>589</v>
      </c>
      <c r="B11" s="71" t="s">
        <v>577</v>
      </c>
      <c r="C11" s="72" t="s">
        <v>848</v>
      </c>
      <c r="D11" s="73" t="s">
        <v>7</v>
      </c>
      <c r="E11" s="74">
        <v>1</v>
      </c>
      <c r="F11" s="75">
        <v>500</v>
      </c>
      <c r="G11" s="75">
        <v>0</v>
      </c>
      <c r="H11" s="75">
        <f t="shared" ref="H11:H12" si="2">F11+G11</f>
        <v>500</v>
      </c>
      <c r="I11" s="76">
        <f t="shared" ref="I11:I12" si="3">H11*(1+$J$4)</f>
        <v>650</v>
      </c>
      <c r="J11" s="77">
        <f t="shared" ref="J11:J12" si="4">E11*I11</f>
        <v>650</v>
      </c>
      <c r="K11" s="280" t="s">
        <v>1168</v>
      </c>
      <c r="L11" s="281"/>
      <c r="M11" s="281"/>
    </row>
    <row r="12" spans="1:13" s="12" customFormat="1" ht="21" customHeight="1" outlineLevel="1">
      <c r="A12" s="70" t="s">
        <v>589</v>
      </c>
      <c r="B12" s="71" t="s">
        <v>577</v>
      </c>
      <c r="C12" s="72" t="s">
        <v>849</v>
      </c>
      <c r="D12" s="73" t="s">
        <v>7</v>
      </c>
      <c r="E12" s="74">
        <v>1</v>
      </c>
      <c r="F12" s="75">
        <v>10000</v>
      </c>
      <c r="G12" s="75">
        <v>0</v>
      </c>
      <c r="H12" s="75">
        <f t="shared" si="2"/>
        <v>10000</v>
      </c>
      <c r="I12" s="76">
        <f t="shared" si="3"/>
        <v>13000</v>
      </c>
      <c r="J12" s="77">
        <f t="shared" si="4"/>
        <v>13000</v>
      </c>
      <c r="K12" s="280"/>
      <c r="L12" s="281"/>
      <c r="M12" s="281"/>
    </row>
    <row r="13" spans="1:13" s="12" customFormat="1" outlineLevel="1">
      <c r="A13" s="63" t="s">
        <v>43</v>
      </c>
      <c r="B13" s="63"/>
      <c r="C13" s="64" t="s">
        <v>77</v>
      </c>
      <c r="D13" s="65"/>
      <c r="E13" s="66"/>
      <c r="F13" s="67"/>
      <c r="G13" s="67"/>
      <c r="H13" s="68"/>
      <c r="I13" s="68"/>
      <c r="J13" s="69"/>
      <c r="K13" s="280"/>
      <c r="L13" s="281"/>
      <c r="M13" s="281"/>
    </row>
    <row r="14" spans="1:13" s="5" customFormat="1" outlineLevel="1">
      <c r="A14" s="70" t="s">
        <v>82</v>
      </c>
      <c r="B14" s="78">
        <v>20305</v>
      </c>
      <c r="C14" s="72" t="s">
        <v>90</v>
      </c>
      <c r="D14" s="79" t="s">
        <v>4</v>
      </c>
      <c r="E14" s="74">
        <v>6</v>
      </c>
      <c r="F14" s="75">
        <v>270.94</v>
      </c>
      <c r="G14" s="75">
        <v>20.28</v>
      </c>
      <c r="H14" s="75">
        <f>F14+G14</f>
        <v>291.22000000000003</v>
      </c>
      <c r="I14" s="76">
        <f t="shared" ref="I14" si="5">H14*(1+$J$4)</f>
        <v>378.58600000000007</v>
      </c>
      <c r="J14" s="77">
        <f>E14*I14</f>
        <v>2271.5160000000005</v>
      </c>
      <c r="K14" s="280" t="s">
        <v>1168</v>
      </c>
      <c r="L14" s="281"/>
      <c r="M14" s="281"/>
    </row>
    <row r="15" spans="1:13" s="12" customFormat="1" outlineLevel="1">
      <c r="A15" s="63" t="s">
        <v>42</v>
      </c>
      <c r="B15" s="63"/>
      <c r="C15" s="64" t="s">
        <v>83</v>
      </c>
      <c r="D15" s="65"/>
      <c r="E15" s="66"/>
      <c r="F15" s="67"/>
      <c r="G15" s="67"/>
      <c r="H15" s="68"/>
      <c r="I15" s="68"/>
      <c r="J15" s="69"/>
      <c r="K15" s="280"/>
      <c r="L15" s="281"/>
      <c r="M15" s="281"/>
    </row>
    <row r="16" spans="1:13" s="4" customFormat="1" ht="33.75" outlineLevel="1">
      <c r="A16" s="71" t="s">
        <v>94</v>
      </c>
      <c r="B16" s="71" t="s">
        <v>289</v>
      </c>
      <c r="C16" s="72" t="s">
        <v>1156</v>
      </c>
      <c r="D16" s="79" t="s">
        <v>13</v>
      </c>
      <c r="E16" s="74">
        <v>3</v>
      </c>
      <c r="F16" s="75">
        <v>2850</v>
      </c>
      <c r="G16" s="75">
        <v>0</v>
      </c>
      <c r="H16" s="75">
        <f>F16+G16</f>
        <v>2850</v>
      </c>
      <c r="I16" s="76">
        <f>H16*(1+$J$4)</f>
        <v>3705</v>
      </c>
      <c r="J16" s="77">
        <f>E16*I16</f>
        <v>11115</v>
      </c>
      <c r="K16" s="280"/>
      <c r="L16" s="281"/>
      <c r="M16" s="281"/>
    </row>
    <row r="17" spans="1:13" s="12" customFormat="1" outlineLevel="1">
      <c r="A17" s="63" t="s">
        <v>41</v>
      </c>
      <c r="B17" s="63"/>
      <c r="C17" s="64" t="s">
        <v>84</v>
      </c>
      <c r="D17" s="65"/>
      <c r="E17" s="66"/>
      <c r="F17" s="67"/>
      <c r="G17" s="67"/>
      <c r="H17" s="68"/>
      <c r="I17" s="68"/>
      <c r="J17" s="69"/>
      <c r="K17" s="280" t="s">
        <v>1168</v>
      </c>
      <c r="L17" s="281"/>
      <c r="M17" s="281"/>
    </row>
    <row r="18" spans="1:13" s="11" customFormat="1" ht="33.75" outlineLevel="1">
      <c r="A18" s="71" t="s">
        <v>93</v>
      </c>
      <c r="B18" s="71" t="s">
        <v>289</v>
      </c>
      <c r="C18" s="72" t="s">
        <v>1157</v>
      </c>
      <c r="D18" s="79" t="s">
        <v>7</v>
      </c>
      <c r="E18" s="74">
        <v>1</v>
      </c>
      <c r="F18" s="75">
        <v>104347.93379700001</v>
      </c>
      <c r="G18" s="75">
        <v>0</v>
      </c>
      <c r="H18" s="75">
        <f>F18+G18</f>
        <v>104347.93379700001</v>
      </c>
      <c r="I18" s="76">
        <f>H18*(1+$J$4)</f>
        <v>135652.31393610002</v>
      </c>
      <c r="J18" s="77">
        <f>E18*I18</f>
        <v>135652.31393610002</v>
      </c>
      <c r="K18" s="280"/>
      <c r="L18" s="281"/>
      <c r="M18" s="281"/>
    </row>
    <row r="19" spans="1:13" s="12" customFormat="1" outlineLevel="1">
      <c r="A19" s="63" t="s">
        <v>40</v>
      </c>
      <c r="B19" s="63"/>
      <c r="C19" s="64" t="s">
        <v>78</v>
      </c>
      <c r="D19" s="65"/>
      <c r="E19" s="66"/>
      <c r="F19" s="67"/>
      <c r="G19" s="67"/>
      <c r="H19" s="68"/>
      <c r="I19" s="68"/>
      <c r="J19" s="69"/>
      <c r="K19" s="280"/>
      <c r="L19" s="281"/>
      <c r="M19" s="281"/>
    </row>
    <row r="20" spans="1:13" s="4" customFormat="1" ht="45" outlineLevel="1">
      <c r="A20" s="70" t="s">
        <v>591</v>
      </c>
      <c r="B20" s="71" t="s">
        <v>158</v>
      </c>
      <c r="C20" s="80" t="s">
        <v>1158</v>
      </c>
      <c r="D20" s="79" t="s">
        <v>13</v>
      </c>
      <c r="E20" s="74">
        <v>3</v>
      </c>
      <c r="F20" s="75">
        <v>667.67</v>
      </c>
      <c r="G20" s="75">
        <v>0</v>
      </c>
      <c r="H20" s="75">
        <f>F20+G20</f>
        <v>667.67</v>
      </c>
      <c r="I20" s="76">
        <f t="shared" ref="I20:I21" si="6">H20*(1+$J$4)</f>
        <v>867.971</v>
      </c>
      <c r="J20" s="77">
        <f>E20*I20</f>
        <v>2603.913</v>
      </c>
      <c r="K20" s="280" t="s">
        <v>1168</v>
      </c>
      <c r="L20" s="281"/>
      <c r="M20" s="281"/>
    </row>
    <row r="21" spans="1:13" s="4" customFormat="1" ht="22.5" outlineLevel="1">
      <c r="A21" s="70" t="s">
        <v>91</v>
      </c>
      <c r="B21" s="78" t="s">
        <v>176</v>
      </c>
      <c r="C21" s="80" t="s">
        <v>871</v>
      </c>
      <c r="D21" s="79" t="s">
        <v>7</v>
      </c>
      <c r="E21" s="74">
        <v>1</v>
      </c>
      <c r="F21" s="75">
        <v>0</v>
      </c>
      <c r="G21" s="81">
        <v>283.85000000000002</v>
      </c>
      <c r="H21" s="75">
        <f>F21+G21</f>
        <v>283.85000000000002</v>
      </c>
      <c r="I21" s="76">
        <f t="shared" si="6"/>
        <v>369.00500000000005</v>
      </c>
      <c r="J21" s="77">
        <f>E21*I21</f>
        <v>369.00500000000005</v>
      </c>
      <c r="K21" s="280"/>
      <c r="L21" s="281"/>
      <c r="M21" s="281"/>
    </row>
    <row r="22" spans="1:13" s="12" customFormat="1" outlineLevel="1">
      <c r="A22" s="63" t="s">
        <v>76</v>
      </c>
      <c r="B22" s="63"/>
      <c r="C22" s="64" t="s">
        <v>85</v>
      </c>
      <c r="D22" s="65"/>
      <c r="E22" s="66"/>
      <c r="F22" s="67"/>
      <c r="G22" s="67"/>
      <c r="H22" s="68"/>
      <c r="I22" s="68"/>
      <c r="J22" s="69"/>
      <c r="K22" s="280"/>
      <c r="L22" s="281"/>
      <c r="M22" s="281"/>
    </row>
    <row r="23" spans="1:13" s="1" customFormat="1" ht="16.5" customHeight="1" outlineLevel="1">
      <c r="A23" s="70" t="s">
        <v>86</v>
      </c>
      <c r="B23" s="71" t="s">
        <v>289</v>
      </c>
      <c r="C23" s="72" t="s">
        <v>103</v>
      </c>
      <c r="D23" s="73" t="s">
        <v>7</v>
      </c>
      <c r="E23" s="74">
        <v>1</v>
      </c>
      <c r="F23" s="82">
        <v>2700</v>
      </c>
      <c r="G23" s="76">
        <v>0</v>
      </c>
      <c r="H23" s="75">
        <f t="shared" ref="H23:H26" si="7">F23+G23</f>
        <v>2700</v>
      </c>
      <c r="I23" s="76">
        <f t="shared" ref="I23:I26" si="8">H23*(1+$J$4)</f>
        <v>3510</v>
      </c>
      <c r="J23" s="77">
        <f>E23*I23</f>
        <v>3510</v>
      </c>
      <c r="K23" s="280" t="s">
        <v>1168</v>
      </c>
      <c r="L23" s="281"/>
      <c r="M23" s="281"/>
    </row>
    <row r="24" spans="1:13" s="4" customFormat="1" outlineLevel="1">
      <c r="A24" s="70" t="s">
        <v>87</v>
      </c>
      <c r="B24" s="71" t="s">
        <v>289</v>
      </c>
      <c r="C24" s="72" t="s">
        <v>104</v>
      </c>
      <c r="D24" s="73" t="s">
        <v>7</v>
      </c>
      <c r="E24" s="74">
        <v>1</v>
      </c>
      <c r="F24" s="82">
        <v>800</v>
      </c>
      <c r="G24" s="76">
        <v>0</v>
      </c>
      <c r="H24" s="75">
        <f t="shared" si="7"/>
        <v>800</v>
      </c>
      <c r="I24" s="76">
        <f t="shared" si="8"/>
        <v>1040</v>
      </c>
      <c r="J24" s="77">
        <f>E24*I24</f>
        <v>1040</v>
      </c>
      <c r="K24" s="280"/>
      <c r="L24" s="281"/>
      <c r="M24" s="281"/>
    </row>
    <row r="25" spans="1:13" s="4" customFormat="1" ht="16.5" customHeight="1" outlineLevel="1">
      <c r="A25" s="70" t="s">
        <v>88</v>
      </c>
      <c r="B25" s="71" t="s">
        <v>289</v>
      </c>
      <c r="C25" s="72" t="s">
        <v>105</v>
      </c>
      <c r="D25" s="73" t="s">
        <v>7</v>
      </c>
      <c r="E25" s="74">
        <v>1</v>
      </c>
      <c r="F25" s="82">
        <v>2000</v>
      </c>
      <c r="G25" s="76">
        <v>0</v>
      </c>
      <c r="H25" s="75">
        <f t="shared" si="7"/>
        <v>2000</v>
      </c>
      <c r="I25" s="76">
        <f t="shared" si="8"/>
        <v>2600</v>
      </c>
      <c r="J25" s="77">
        <f>E25*I25</f>
        <v>2600</v>
      </c>
      <c r="K25" s="280"/>
      <c r="L25" s="281"/>
      <c r="M25" s="281"/>
    </row>
    <row r="26" spans="1:13" s="4" customFormat="1" outlineLevel="1">
      <c r="A26" s="70" t="s">
        <v>89</v>
      </c>
      <c r="B26" s="71" t="s">
        <v>289</v>
      </c>
      <c r="C26" s="83" t="s">
        <v>106</v>
      </c>
      <c r="D26" s="73" t="s">
        <v>7</v>
      </c>
      <c r="E26" s="74">
        <v>1</v>
      </c>
      <c r="F26" s="82">
        <v>500</v>
      </c>
      <c r="G26" s="76">
        <v>0</v>
      </c>
      <c r="H26" s="75">
        <f t="shared" si="7"/>
        <v>500</v>
      </c>
      <c r="I26" s="76">
        <f t="shared" si="8"/>
        <v>650</v>
      </c>
      <c r="J26" s="77">
        <f>E26*I26</f>
        <v>650</v>
      </c>
      <c r="K26" s="280" t="s">
        <v>1168</v>
      </c>
      <c r="L26" s="281"/>
      <c r="M26" s="281"/>
    </row>
    <row r="27" spans="1:13" s="12" customFormat="1">
      <c r="A27" s="58" t="s">
        <v>2</v>
      </c>
      <c r="B27" s="58"/>
      <c r="C27" s="59" t="s">
        <v>247</v>
      </c>
      <c r="D27" s="59"/>
      <c r="E27" s="59"/>
      <c r="F27" s="60"/>
      <c r="G27" s="60"/>
      <c r="H27" s="61"/>
      <c r="I27" s="61"/>
      <c r="J27" s="62">
        <f ca="1">SUM(OFFSET(J27,1,,,):OFFSET(J32,-1,,,))</f>
        <v>11150.170330000001</v>
      </c>
      <c r="K27" s="280"/>
      <c r="L27" s="281"/>
      <c r="M27" s="281"/>
    </row>
    <row r="28" spans="1:13" s="4" customFormat="1" outlineLevel="1">
      <c r="A28" s="63" t="s">
        <v>31</v>
      </c>
      <c r="B28" s="63"/>
      <c r="C28" s="64" t="s">
        <v>223</v>
      </c>
      <c r="D28" s="65"/>
      <c r="E28" s="66"/>
      <c r="F28" s="67"/>
      <c r="G28" s="67"/>
      <c r="H28" s="68"/>
      <c r="I28" s="68"/>
      <c r="J28" s="69"/>
      <c r="K28" s="280"/>
      <c r="L28" s="281"/>
      <c r="M28" s="281"/>
    </row>
    <row r="29" spans="1:13" s="4" customFormat="1" ht="33.75" outlineLevel="1">
      <c r="A29" s="71" t="s">
        <v>100</v>
      </c>
      <c r="B29" s="78">
        <v>20351</v>
      </c>
      <c r="C29" s="84" t="s">
        <v>586</v>
      </c>
      <c r="D29" s="85" t="s">
        <v>4</v>
      </c>
      <c r="E29" s="74">
        <v>28.53</v>
      </c>
      <c r="F29" s="81">
        <v>132.86000000000001</v>
      </c>
      <c r="G29" s="81">
        <v>43.11</v>
      </c>
      <c r="H29" s="75">
        <f>F29+G29</f>
        <v>175.97000000000003</v>
      </c>
      <c r="I29" s="76">
        <f>H29*(1+$J$4)</f>
        <v>228.76100000000005</v>
      </c>
      <c r="J29" s="77">
        <f>E29*I29</f>
        <v>6526.5513300000021</v>
      </c>
      <c r="K29" s="280" t="s">
        <v>1168</v>
      </c>
      <c r="L29" s="281"/>
      <c r="M29" s="281"/>
    </row>
    <row r="30" spans="1:13" s="12" customFormat="1" outlineLevel="1">
      <c r="A30" s="63" t="s">
        <v>32</v>
      </c>
      <c r="B30" s="63"/>
      <c r="C30" s="64" t="s">
        <v>248</v>
      </c>
      <c r="D30" s="65"/>
      <c r="E30" s="66"/>
      <c r="F30" s="67"/>
      <c r="G30" s="67"/>
      <c r="H30" s="68"/>
      <c r="I30" s="68"/>
      <c r="J30" s="69"/>
      <c r="K30" s="280"/>
      <c r="L30" s="281"/>
      <c r="M30" s="281"/>
    </row>
    <row r="31" spans="1:13" s="12" customFormat="1" ht="22.5" outlineLevel="1">
      <c r="A31" s="71" t="s">
        <v>99</v>
      </c>
      <c r="B31" s="71" t="s">
        <v>158</v>
      </c>
      <c r="C31" s="84" t="s">
        <v>92</v>
      </c>
      <c r="D31" s="85" t="s">
        <v>7</v>
      </c>
      <c r="E31" s="74">
        <v>1</v>
      </c>
      <c r="F31" s="81">
        <v>3556.6299999999997</v>
      </c>
      <c r="G31" s="81">
        <v>0</v>
      </c>
      <c r="H31" s="75">
        <f>F31+G31</f>
        <v>3556.6299999999997</v>
      </c>
      <c r="I31" s="76">
        <f>H31*(1+$J$4)</f>
        <v>4623.6189999999997</v>
      </c>
      <c r="J31" s="77">
        <f>E31*I31</f>
        <v>4623.6189999999997</v>
      </c>
      <c r="K31" s="280"/>
      <c r="L31" s="281"/>
      <c r="M31" s="281"/>
    </row>
    <row r="32" spans="1:13" s="12" customFormat="1">
      <c r="A32" s="58" t="s">
        <v>3</v>
      </c>
      <c r="B32" s="58"/>
      <c r="C32" s="59" t="s">
        <v>249</v>
      </c>
      <c r="D32" s="59"/>
      <c r="E32" s="59"/>
      <c r="F32" s="60"/>
      <c r="G32" s="60"/>
      <c r="H32" s="61"/>
      <c r="I32" s="61"/>
      <c r="J32" s="62">
        <f ca="1">SUM(OFFSET(J32,1,,,):OFFSET(J35,-1,,,))</f>
        <v>14381.813333333334</v>
      </c>
      <c r="K32" s="280" t="s">
        <v>1168</v>
      </c>
      <c r="L32" s="281"/>
      <c r="M32" s="281"/>
    </row>
    <row r="33" spans="1:13" s="12" customFormat="1" outlineLevel="1">
      <c r="A33" s="63" t="s">
        <v>46</v>
      </c>
      <c r="B33" s="63"/>
      <c r="C33" s="64" t="s">
        <v>225</v>
      </c>
      <c r="D33" s="65"/>
      <c r="E33" s="66"/>
      <c r="F33" s="67"/>
      <c r="G33" s="67"/>
      <c r="H33" s="68"/>
      <c r="I33" s="68"/>
      <c r="J33" s="69"/>
      <c r="K33" s="280"/>
      <c r="L33" s="281"/>
      <c r="M33" s="281"/>
    </row>
    <row r="34" spans="1:13" s="5" customFormat="1" ht="247.5" outlineLevel="1">
      <c r="A34" s="71" t="s">
        <v>250</v>
      </c>
      <c r="B34" s="71"/>
      <c r="C34" s="80" t="s">
        <v>1155</v>
      </c>
      <c r="D34" s="86" t="s">
        <v>7</v>
      </c>
      <c r="E34" s="87">
        <v>1</v>
      </c>
      <c r="F34" s="75">
        <v>0</v>
      </c>
      <c r="G34" s="75">
        <v>11062.933333333332</v>
      </c>
      <c r="H34" s="75">
        <f t="shared" ref="H34" si="9">F34+G34</f>
        <v>11062.933333333332</v>
      </c>
      <c r="I34" s="76">
        <f t="shared" ref="I34" si="10">H34*(1+$J$4)</f>
        <v>14381.813333333334</v>
      </c>
      <c r="J34" s="77">
        <f>E34*I34</f>
        <v>14381.813333333334</v>
      </c>
      <c r="K34" s="280"/>
      <c r="L34" s="281"/>
      <c r="M34" s="281"/>
    </row>
    <row r="35" spans="1:13" s="12" customFormat="1" ht="15" customHeight="1">
      <c r="A35" s="58" t="s">
        <v>19</v>
      </c>
      <c r="B35" s="58"/>
      <c r="C35" s="59" t="s">
        <v>227</v>
      </c>
      <c r="D35" s="59"/>
      <c r="E35" s="59"/>
      <c r="F35" s="60"/>
      <c r="G35" s="60"/>
      <c r="H35" s="61"/>
      <c r="I35" s="61"/>
      <c r="J35" s="62">
        <f ca="1">SUM(OFFSET(J35,1,,,):OFFSET(J42,-1,,,))</f>
        <v>28811.834999999999</v>
      </c>
      <c r="K35" s="280" t="s">
        <v>1168</v>
      </c>
      <c r="L35" s="281"/>
      <c r="M35" s="281"/>
    </row>
    <row r="36" spans="1:13" s="12" customFormat="1" outlineLevel="1">
      <c r="A36" s="63" t="s">
        <v>153</v>
      </c>
      <c r="B36" s="63"/>
      <c r="C36" s="64" t="s">
        <v>177</v>
      </c>
      <c r="D36" s="65"/>
      <c r="E36" s="66"/>
      <c r="F36" s="67"/>
      <c r="G36" s="67"/>
      <c r="H36" s="68"/>
      <c r="I36" s="68"/>
      <c r="J36" s="69"/>
      <c r="K36" s="280"/>
      <c r="L36" s="281"/>
      <c r="M36" s="281"/>
    </row>
    <row r="37" spans="1:13" s="4" customFormat="1" ht="22.5" outlineLevel="1">
      <c r="A37" s="70" t="s">
        <v>213</v>
      </c>
      <c r="B37" s="71" t="s">
        <v>158</v>
      </c>
      <c r="C37" s="88" t="s">
        <v>283</v>
      </c>
      <c r="D37" s="89" t="s">
        <v>4</v>
      </c>
      <c r="E37" s="74">
        <v>6.71</v>
      </c>
      <c r="F37" s="75">
        <v>135</v>
      </c>
      <c r="G37" s="75">
        <v>0</v>
      </c>
      <c r="H37" s="75">
        <f t="shared" ref="H37:H41" si="11">F37+G37</f>
        <v>135</v>
      </c>
      <c r="I37" s="76">
        <f t="shared" ref="I37" si="12">H37*(1+$J$4)</f>
        <v>175.5</v>
      </c>
      <c r="J37" s="77">
        <f>E37*I37</f>
        <v>1177.605</v>
      </c>
      <c r="K37" s="280"/>
      <c r="L37" s="281"/>
      <c r="M37" s="281"/>
    </row>
    <row r="38" spans="1:13" s="12" customFormat="1" ht="22.5" customHeight="1" outlineLevel="1">
      <c r="A38" s="70" t="s">
        <v>214</v>
      </c>
      <c r="B38" s="71" t="s">
        <v>158</v>
      </c>
      <c r="C38" s="88" t="s">
        <v>284</v>
      </c>
      <c r="D38" s="89" t="s">
        <v>4</v>
      </c>
      <c r="E38" s="74">
        <v>25.75</v>
      </c>
      <c r="F38" s="75">
        <v>155</v>
      </c>
      <c r="G38" s="75">
        <v>0</v>
      </c>
      <c r="H38" s="75">
        <f t="shared" si="11"/>
        <v>155</v>
      </c>
      <c r="I38" s="76">
        <f t="shared" ref="I38:I39" si="13">H38*(1+$J$4)</f>
        <v>201.5</v>
      </c>
      <c r="J38" s="77">
        <f>E38*I38</f>
        <v>5188.625</v>
      </c>
      <c r="K38" s="282" t="s">
        <v>1168</v>
      </c>
      <c r="L38" s="279"/>
      <c r="M38" s="279"/>
    </row>
    <row r="39" spans="1:13" s="12" customFormat="1" ht="33.75" outlineLevel="1">
      <c r="A39" s="70" t="s">
        <v>215</v>
      </c>
      <c r="B39" s="71" t="s">
        <v>158</v>
      </c>
      <c r="C39" s="88" t="s">
        <v>281</v>
      </c>
      <c r="D39" s="89" t="s">
        <v>4</v>
      </c>
      <c r="E39" s="74">
        <v>29.97</v>
      </c>
      <c r="F39" s="75">
        <v>165</v>
      </c>
      <c r="G39" s="75">
        <v>0</v>
      </c>
      <c r="H39" s="75">
        <f t="shared" si="11"/>
        <v>165</v>
      </c>
      <c r="I39" s="76">
        <f t="shared" si="13"/>
        <v>214.5</v>
      </c>
      <c r="J39" s="77">
        <f>E39*I39</f>
        <v>6428.5649999999996</v>
      </c>
      <c r="K39" s="282"/>
      <c r="L39" s="279"/>
      <c r="M39" s="279"/>
    </row>
    <row r="40" spans="1:13" ht="33.75" customHeight="1" outlineLevel="1">
      <c r="A40" s="70" t="s">
        <v>216</v>
      </c>
      <c r="B40" s="71" t="s">
        <v>158</v>
      </c>
      <c r="C40" s="88" t="s">
        <v>282</v>
      </c>
      <c r="D40" s="89" t="s">
        <v>4</v>
      </c>
      <c r="E40" s="74">
        <v>41.91</v>
      </c>
      <c r="F40" s="75">
        <v>180</v>
      </c>
      <c r="G40" s="75">
        <v>0</v>
      </c>
      <c r="H40" s="75">
        <f t="shared" si="11"/>
        <v>180</v>
      </c>
      <c r="I40" s="76">
        <f t="shared" ref="I40:I41" si="14">H40*(1+$J$4)</f>
        <v>234</v>
      </c>
      <c r="J40" s="77">
        <f>E40*I40</f>
        <v>9806.9399999999987</v>
      </c>
      <c r="K40" s="282" t="s">
        <v>1168</v>
      </c>
      <c r="L40" s="279"/>
      <c r="M40" s="279"/>
    </row>
    <row r="41" spans="1:13" s="12" customFormat="1" ht="22.5" outlineLevel="1">
      <c r="A41" s="70" t="s">
        <v>217</v>
      </c>
      <c r="B41" s="71" t="s">
        <v>158</v>
      </c>
      <c r="C41" s="90" t="s">
        <v>228</v>
      </c>
      <c r="D41" s="89" t="s">
        <v>4</v>
      </c>
      <c r="E41" s="74">
        <v>95.54</v>
      </c>
      <c r="F41" s="75">
        <v>50</v>
      </c>
      <c r="G41" s="75">
        <v>0</v>
      </c>
      <c r="H41" s="75">
        <f t="shared" si="11"/>
        <v>50</v>
      </c>
      <c r="I41" s="76">
        <f t="shared" si="14"/>
        <v>65</v>
      </c>
      <c r="J41" s="77">
        <f>E41*I41</f>
        <v>6210.1</v>
      </c>
      <c r="K41" s="282"/>
      <c r="L41" s="279"/>
      <c r="M41" s="279"/>
    </row>
    <row r="42" spans="1:13" s="12" customFormat="1">
      <c r="A42" s="58" t="s">
        <v>23</v>
      </c>
      <c r="B42" s="58"/>
      <c r="C42" s="91" t="s">
        <v>45</v>
      </c>
      <c r="D42" s="59"/>
      <c r="E42" s="59"/>
      <c r="F42" s="60"/>
      <c r="G42" s="60"/>
      <c r="H42" s="61"/>
      <c r="I42" s="61"/>
      <c r="J42" s="62">
        <f ca="1">SUM(OFFSET(J42,1,,,):OFFSET(J44,-1,,,))</f>
        <v>1630.3794000000003</v>
      </c>
      <c r="K42" s="280" t="s">
        <v>1168</v>
      </c>
      <c r="L42" s="281"/>
      <c r="M42" s="281"/>
    </row>
    <row r="43" spans="1:13" s="4" customFormat="1" ht="22.5" outlineLevel="1">
      <c r="A43" s="92" t="s">
        <v>33</v>
      </c>
      <c r="B43" s="93">
        <v>100203</v>
      </c>
      <c r="C43" s="94" t="s">
        <v>1159</v>
      </c>
      <c r="D43" s="95" t="s">
        <v>4</v>
      </c>
      <c r="E43" s="74">
        <v>25.8</v>
      </c>
      <c r="F43" s="82">
        <v>36.659999999999997</v>
      </c>
      <c r="G43" s="76">
        <v>11.95</v>
      </c>
      <c r="H43" s="75">
        <f>F43+G43</f>
        <v>48.61</v>
      </c>
      <c r="I43" s="76">
        <f t="shared" ref="I43" si="15">H43*(1+$J$4)</f>
        <v>63.193000000000005</v>
      </c>
      <c r="J43" s="77">
        <f>E43*I43</f>
        <v>1630.3794000000003</v>
      </c>
      <c r="K43" s="280"/>
      <c r="L43" s="281"/>
      <c r="M43" s="281"/>
    </row>
    <row r="44" spans="1:13" s="12" customFormat="1">
      <c r="A44" s="58" t="s">
        <v>24</v>
      </c>
      <c r="B44" s="58"/>
      <c r="C44" s="91" t="s">
        <v>11</v>
      </c>
      <c r="D44" s="59"/>
      <c r="E44" s="59"/>
      <c r="F44" s="60"/>
      <c r="G44" s="60"/>
      <c r="H44" s="61"/>
      <c r="I44" s="61"/>
      <c r="J44" s="62">
        <f ca="1">SUM(OFFSET(J44,1,,,):OFFSET(J60,-1,,,))</f>
        <v>175824.00563000003</v>
      </c>
      <c r="K44" s="280"/>
      <c r="L44" s="281"/>
      <c r="M44" s="281"/>
    </row>
    <row r="45" spans="1:13" s="12" customFormat="1" outlineLevel="1">
      <c r="A45" s="63" t="s">
        <v>34</v>
      </c>
      <c r="B45" s="63"/>
      <c r="C45" s="96" t="s">
        <v>11</v>
      </c>
      <c r="D45" s="65"/>
      <c r="E45" s="66"/>
      <c r="F45" s="67"/>
      <c r="G45" s="67"/>
      <c r="H45" s="68"/>
      <c r="I45" s="68"/>
      <c r="J45" s="69"/>
      <c r="K45" s="280" t="s">
        <v>1168</v>
      </c>
      <c r="L45" s="281"/>
      <c r="M45" s="281"/>
    </row>
    <row r="46" spans="1:13" s="12" customFormat="1" outlineLevel="1">
      <c r="A46" s="71" t="s">
        <v>108</v>
      </c>
      <c r="B46" s="78">
        <v>130233</v>
      </c>
      <c r="C46" s="88" t="s">
        <v>872</v>
      </c>
      <c r="D46" s="89" t="s">
        <v>4</v>
      </c>
      <c r="E46" s="74">
        <v>14.97</v>
      </c>
      <c r="F46" s="75">
        <v>379.03</v>
      </c>
      <c r="G46" s="75">
        <v>60.83</v>
      </c>
      <c r="H46" s="75">
        <f t="shared" ref="H46:H49" si="16">F46+G46</f>
        <v>439.85999999999996</v>
      </c>
      <c r="I46" s="76">
        <f t="shared" ref="I46" si="17">H46*(1+$J$4)</f>
        <v>571.81799999999998</v>
      </c>
      <c r="J46" s="77">
        <f>E46*I46</f>
        <v>8560.1154600000009</v>
      </c>
      <c r="K46" s="280"/>
      <c r="L46" s="281"/>
      <c r="M46" s="281"/>
    </row>
    <row r="47" spans="1:13" s="12" customFormat="1" ht="22.5" outlineLevel="1">
      <c r="A47" s="71" t="s">
        <v>109</v>
      </c>
      <c r="B47" s="78">
        <v>130101</v>
      </c>
      <c r="C47" s="88" t="s">
        <v>229</v>
      </c>
      <c r="D47" s="89" t="s">
        <v>4</v>
      </c>
      <c r="E47" s="74">
        <v>3.97</v>
      </c>
      <c r="F47" s="75">
        <v>59.629999999999995</v>
      </c>
      <c r="G47" s="75">
        <v>29.689999999999998</v>
      </c>
      <c r="H47" s="75">
        <f t="shared" si="16"/>
        <v>89.32</v>
      </c>
      <c r="I47" s="76">
        <f t="shared" ref="I47:I48" si="18">H47*(1+$J$4)</f>
        <v>116.116</v>
      </c>
      <c r="J47" s="77">
        <f>E47*I47</f>
        <v>460.98052000000001</v>
      </c>
      <c r="K47" s="280"/>
      <c r="L47" s="281"/>
      <c r="M47" s="281"/>
    </row>
    <row r="48" spans="1:13" s="12" customFormat="1" outlineLevel="1">
      <c r="A48" s="71" t="s">
        <v>230</v>
      </c>
      <c r="B48" s="78">
        <v>130102</v>
      </c>
      <c r="C48" s="94" t="s">
        <v>306</v>
      </c>
      <c r="D48" s="89" t="s">
        <v>4</v>
      </c>
      <c r="E48" s="74">
        <v>171.49</v>
      </c>
      <c r="F48" s="75">
        <v>14.34</v>
      </c>
      <c r="G48" s="75">
        <v>13.76</v>
      </c>
      <c r="H48" s="75">
        <f t="shared" si="16"/>
        <v>28.1</v>
      </c>
      <c r="I48" s="76">
        <f t="shared" si="18"/>
        <v>36.53</v>
      </c>
      <c r="J48" s="77">
        <f>E48*I48</f>
        <v>6264.529700000001</v>
      </c>
      <c r="K48" s="280" t="s">
        <v>1168</v>
      </c>
      <c r="L48" s="281"/>
      <c r="M48" s="281"/>
    </row>
    <row r="49" spans="1:13" s="4" customFormat="1" ht="22.5" outlineLevel="1">
      <c r="A49" s="71" t="s">
        <v>304</v>
      </c>
      <c r="B49" s="78">
        <v>130103</v>
      </c>
      <c r="C49" s="88" t="s">
        <v>118</v>
      </c>
      <c r="D49" s="89" t="s">
        <v>4</v>
      </c>
      <c r="E49" s="74">
        <v>288.14999999999998</v>
      </c>
      <c r="F49" s="75">
        <v>12.41</v>
      </c>
      <c r="G49" s="75">
        <v>15.93</v>
      </c>
      <c r="H49" s="75">
        <f t="shared" si="16"/>
        <v>28.34</v>
      </c>
      <c r="I49" s="76">
        <f t="shared" ref="I49:I51" si="19">H49*(1+$J$4)</f>
        <v>36.841999999999999</v>
      </c>
      <c r="J49" s="77">
        <f>E49*I49</f>
        <v>10616.022299999999</v>
      </c>
      <c r="K49" s="280"/>
      <c r="L49" s="281"/>
      <c r="M49" s="281"/>
    </row>
    <row r="50" spans="1:13" s="12" customFormat="1" outlineLevel="1">
      <c r="A50" s="63" t="s">
        <v>186</v>
      </c>
      <c r="B50" s="63"/>
      <c r="C50" s="96" t="s">
        <v>251</v>
      </c>
      <c r="D50" s="65"/>
      <c r="E50" s="66"/>
      <c r="F50" s="67"/>
      <c r="G50" s="67"/>
      <c r="H50" s="68"/>
      <c r="I50" s="68"/>
      <c r="J50" s="69"/>
      <c r="K50" s="280"/>
      <c r="L50" s="281"/>
      <c r="M50" s="281"/>
    </row>
    <row r="51" spans="1:13" s="4" customFormat="1" ht="45" outlineLevel="1">
      <c r="A51" s="71" t="s">
        <v>187</v>
      </c>
      <c r="B51" s="78">
        <v>130233</v>
      </c>
      <c r="C51" s="88" t="s">
        <v>873</v>
      </c>
      <c r="D51" s="79" t="s">
        <v>4</v>
      </c>
      <c r="E51" s="74">
        <v>12.51</v>
      </c>
      <c r="F51" s="75">
        <v>379.03</v>
      </c>
      <c r="G51" s="75">
        <v>60.83</v>
      </c>
      <c r="H51" s="75">
        <f>F51+G51</f>
        <v>439.85999999999996</v>
      </c>
      <c r="I51" s="76">
        <f t="shared" si="19"/>
        <v>571.81799999999998</v>
      </c>
      <c r="J51" s="77">
        <f>E51*I51</f>
        <v>7153.4431799999993</v>
      </c>
      <c r="K51" s="280" t="s">
        <v>1168</v>
      </c>
      <c r="L51" s="281"/>
      <c r="M51" s="281"/>
    </row>
    <row r="52" spans="1:13" s="12" customFormat="1" outlineLevel="1">
      <c r="A52" s="63" t="s">
        <v>231</v>
      </c>
      <c r="B52" s="63"/>
      <c r="C52" s="96" t="s">
        <v>232</v>
      </c>
      <c r="D52" s="65"/>
      <c r="E52" s="66"/>
      <c r="F52" s="67"/>
      <c r="G52" s="67"/>
      <c r="H52" s="68"/>
      <c r="I52" s="68"/>
      <c r="J52" s="69"/>
      <c r="K52" s="280"/>
      <c r="L52" s="281"/>
      <c r="M52" s="281"/>
    </row>
    <row r="53" spans="1:13" s="12" customFormat="1" ht="24.75" customHeight="1" outlineLevel="1">
      <c r="A53" s="71" t="s">
        <v>233</v>
      </c>
      <c r="B53" s="78">
        <v>130234</v>
      </c>
      <c r="C53" s="88" t="s">
        <v>234</v>
      </c>
      <c r="D53" s="89" t="s">
        <v>4</v>
      </c>
      <c r="E53" s="74">
        <v>275.64</v>
      </c>
      <c r="F53" s="75">
        <v>251.86</v>
      </c>
      <c r="G53" s="75">
        <v>48.519999999999996</v>
      </c>
      <c r="H53" s="75">
        <f>F53+G53</f>
        <v>300.38</v>
      </c>
      <c r="I53" s="76">
        <f t="shared" ref="I53" si="20">H53*(1+$J$4)</f>
        <v>390.49400000000003</v>
      </c>
      <c r="J53" s="77">
        <f>E53*I53</f>
        <v>107635.76616</v>
      </c>
      <c r="K53" s="280"/>
      <c r="L53" s="281"/>
      <c r="M53" s="281"/>
    </row>
    <row r="54" spans="1:13" s="12" customFormat="1" outlineLevel="1">
      <c r="A54" s="63" t="s">
        <v>235</v>
      </c>
      <c r="B54" s="63"/>
      <c r="C54" s="96" t="s">
        <v>252</v>
      </c>
      <c r="D54" s="65"/>
      <c r="E54" s="66"/>
      <c r="F54" s="67"/>
      <c r="G54" s="67"/>
      <c r="H54" s="68"/>
      <c r="I54" s="68"/>
      <c r="J54" s="69"/>
      <c r="K54" s="280" t="s">
        <v>1168</v>
      </c>
      <c r="L54" s="281"/>
      <c r="M54" s="281"/>
    </row>
    <row r="55" spans="1:13" s="4" customFormat="1" ht="22.5" outlineLevel="1">
      <c r="A55" s="71" t="s">
        <v>236</v>
      </c>
      <c r="B55" s="78">
        <v>130106</v>
      </c>
      <c r="C55" s="94" t="s">
        <v>70</v>
      </c>
      <c r="D55" s="79" t="s">
        <v>4</v>
      </c>
      <c r="E55" s="74">
        <v>288.14999999999998</v>
      </c>
      <c r="F55" s="75">
        <v>9.48</v>
      </c>
      <c r="G55" s="75">
        <v>4.2300000000000004</v>
      </c>
      <c r="H55" s="75">
        <f>F55+G55</f>
        <v>13.71</v>
      </c>
      <c r="I55" s="76">
        <f>H55*(1+$J$4)</f>
        <v>17.823</v>
      </c>
      <c r="J55" s="77">
        <f>E55*I55</f>
        <v>5135.6974499999997</v>
      </c>
      <c r="K55" s="280"/>
      <c r="L55" s="281"/>
      <c r="M55" s="281"/>
    </row>
    <row r="56" spans="1:13" s="12" customFormat="1" outlineLevel="1">
      <c r="A56" s="63" t="s">
        <v>237</v>
      </c>
      <c r="B56" s="63"/>
      <c r="C56" s="96" t="s">
        <v>55</v>
      </c>
      <c r="D56" s="65"/>
      <c r="E56" s="66"/>
      <c r="F56" s="67"/>
      <c r="G56" s="67"/>
      <c r="H56" s="68"/>
      <c r="I56" s="68"/>
      <c r="J56" s="69"/>
      <c r="K56" s="280"/>
      <c r="L56" s="281"/>
      <c r="M56" s="281"/>
    </row>
    <row r="57" spans="1:13" s="4" customFormat="1" ht="15.75" customHeight="1" outlineLevel="1">
      <c r="A57" s="71" t="s">
        <v>238</v>
      </c>
      <c r="B57" s="78">
        <v>130308</v>
      </c>
      <c r="C57" s="88" t="s">
        <v>305</v>
      </c>
      <c r="D57" s="79" t="s">
        <v>5</v>
      </c>
      <c r="E57" s="74">
        <v>4.2</v>
      </c>
      <c r="F57" s="75">
        <v>65.12</v>
      </c>
      <c r="G57" s="75">
        <v>11.29</v>
      </c>
      <c r="H57" s="75">
        <f>F57+G57</f>
        <v>76.41</v>
      </c>
      <c r="I57" s="76">
        <f t="shared" ref="I57" si="21">H57*(1+$J$4)</f>
        <v>99.332999999999998</v>
      </c>
      <c r="J57" s="77">
        <f>E57*I57</f>
        <v>417.1986</v>
      </c>
      <c r="K57" s="280" t="s">
        <v>1168</v>
      </c>
      <c r="L57" s="281"/>
      <c r="M57" s="281"/>
    </row>
    <row r="58" spans="1:13" s="12" customFormat="1" outlineLevel="1">
      <c r="A58" s="63" t="s">
        <v>253</v>
      </c>
      <c r="B58" s="63"/>
      <c r="C58" s="96" t="s">
        <v>47</v>
      </c>
      <c r="D58" s="65"/>
      <c r="E58" s="66"/>
      <c r="F58" s="67"/>
      <c r="G58" s="67"/>
      <c r="H58" s="68"/>
      <c r="I58" s="68"/>
      <c r="J58" s="69"/>
      <c r="K58" s="280"/>
      <c r="L58" s="281"/>
      <c r="M58" s="281"/>
    </row>
    <row r="59" spans="1:13" s="4" customFormat="1" ht="33.75" outlineLevel="1">
      <c r="A59" s="71" t="s">
        <v>254</v>
      </c>
      <c r="B59" s="71" t="s">
        <v>151</v>
      </c>
      <c r="C59" s="88" t="s">
        <v>874</v>
      </c>
      <c r="D59" s="79" t="s">
        <v>5</v>
      </c>
      <c r="E59" s="74">
        <v>252.43</v>
      </c>
      <c r="F59" s="75">
        <v>65.88</v>
      </c>
      <c r="G59" s="75">
        <v>24.259999999999998</v>
      </c>
      <c r="H59" s="75">
        <f>F59+G59</f>
        <v>90.139999999999986</v>
      </c>
      <c r="I59" s="76">
        <f t="shared" ref="I59" si="22">H59*(1+$J$4)</f>
        <v>117.18199999999999</v>
      </c>
      <c r="J59" s="77">
        <f>E59*I59</f>
        <v>29580.252259999997</v>
      </c>
      <c r="K59" s="280"/>
      <c r="L59" s="281"/>
      <c r="M59" s="281"/>
    </row>
    <row r="60" spans="1:13" s="12" customFormat="1">
      <c r="A60" s="58" t="s">
        <v>25</v>
      </c>
      <c r="B60" s="58"/>
      <c r="C60" s="91" t="s">
        <v>12</v>
      </c>
      <c r="D60" s="59"/>
      <c r="E60" s="59"/>
      <c r="F60" s="60"/>
      <c r="G60" s="60"/>
      <c r="H60" s="61"/>
      <c r="I60" s="61"/>
      <c r="J60" s="62">
        <f ca="1">SUM(OFFSET(J60,1,,,):OFFSET(J68,-1,,,))</f>
        <v>55265.978040000016</v>
      </c>
      <c r="K60" s="280" t="s">
        <v>1168</v>
      </c>
      <c r="L60" s="281"/>
      <c r="M60" s="281"/>
    </row>
    <row r="61" spans="1:13" s="12" customFormat="1" outlineLevel="1">
      <c r="A61" s="63" t="s">
        <v>35</v>
      </c>
      <c r="B61" s="63"/>
      <c r="C61" s="96" t="s">
        <v>54</v>
      </c>
      <c r="D61" s="65"/>
      <c r="E61" s="66"/>
      <c r="F61" s="67"/>
      <c r="G61" s="67"/>
      <c r="H61" s="68"/>
      <c r="I61" s="68"/>
      <c r="J61" s="69"/>
      <c r="K61" s="280"/>
      <c r="L61" s="281"/>
      <c r="M61" s="281"/>
    </row>
    <row r="62" spans="1:13" s="4" customFormat="1" ht="22.5" outlineLevel="1">
      <c r="A62" s="70" t="s">
        <v>56</v>
      </c>
      <c r="B62" s="78">
        <v>120101</v>
      </c>
      <c r="C62" s="88" t="s">
        <v>53</v>
      </c>
      <c r="D62" s="89" t="s">
        <v>4</v>
      </c>
      <c r="E62" s="74">
        <v>170.6</v>
      </c>
      <c r="F62" s="75">
        <v>2.8200000000000003</v>
      </c>
      <c r="G62" s="75">
        <v>4.8499999999999996</v>
      </c>
      <c r="H62" s="75">
        <f t="shared" ref="H62:H64" si="23">F62+G62</f>
        <v>7.67</v>
      </c>
      <c r="I62" s="76">
        <f t="shared" ref="I62:I64" si="24">H62*(1+$J$4)</f>
        <v>9.9710000000000001</v>
      </c>
      <c r="J62" s="77">
        <f>E62*I62</f>
        <v>1701.0526</v>
      </c>
      <c r="K62" s="280"/>
      <c r="L62" s="281"/>
      <c r="M62" s="281"/>
    </row>
    <row r="63" spans="1:13" s="4" customFormat="1" ht="22.5" outlineLevel="1">
      <c r="A63" s="70" t="s">
        <v>57</v>
      </c>
      <c r="B63" s="78">
        <v>110301</v>
      </c>
      <c r="C63" s="88" t="s">
        <v>120</v>
      </c>
      <c r="D63" s="89" t="s">
        <v>4</v>
      </c>
      <c r="E63" s="74">
        <v>89.6</v>
      </c>
      <c r="F63" s="75">
        <v>8.5300000000000011</v>
      </c>
      <c r="G63" s="75">
        <v>31.57</v>
      </c>
      <c r="H63" s="75">
        <f t="shared" si="23"/>
        <v>40.1</v>
      </c>
      <c r="I63" s="76">
        <f t="shared" si="24"/>
        <v>52.13</v>
      </c>
      <c r="J63" s="77">
        <f>E63*I63</f>
        <v>4670.848</v>
      </c>
      <c r="K63" s="280" t="s">
        <v>1168</v>
      </c>
      <c r="L63" s="281"/>
      <c r="M63" s="281"/>
    </row>
    <row r="64" spans="1:13" s="5" customFormat="1" ht="24" customHeight="1" outlineLevel="1">
      <c r="A64" s="70" t="s">
        <v>58</v>
      </c>
      <c r="B64" s="78">
        <v>110302</v>
      </c>
      <c r="C64" s="88" t="s">
        <v>587</v>
      </c>
      <c r="D64" s="89" t="s">
        <v>4</v>
      </c>
      <c r="E64" s="74">
        <v>82</v>
      </c>
      <c r="F64" s="75">
        <v>10.669999999999998</v>
      </c>
      <c r="G64" s="75">
        <v>57.769999999999996</v>
      </c>
      <c r="H64" s="75">
        <f t="shared" si="23"/>
        <v>68.44</v>
      </c>
      <c r="I64" s="76">
        <f t="shared" si="24"/>
        <v>88.971999999999994</v>
      </c>
      <c r="J64" s="77">
        <f>E64*I64</f>
        <v>7295.7039999999997</v>
      </c>
      <c r="K64" s="280"/>
      <c r="L64" s="281"/>
      <c r="M64" s="281"/>
    </row>
    <row r="65" spans="1:13" s="12" customFormat="1" outlineLevel="1">
      <c r="A65" s="63" t="s">
        <v>188</v>
      </c>
      <c r="B65" s="63"/>
      <c r="C65" s="96" t="s">
        <v>119</v>
      </c>
      <c r="D65" s="65"/>
      <c r="E65" s="66"/>
      <c r="F65" s="67"/>
      <c r="G65" s="67"/>
      <c r="H65" s="68"/>
      <c r="I65" s="68"/>
      <c r="J65" s="69"/>
      <c r="K65" s="280"/>
      <c r="L65" s="281"/>
      <c r="M65" s="281"/>
    </row>
    <row r="66" spans="1:13" s="4" customFormat="1" ht="33.75" customHeight="1" outlineLevel="1">
      <c r="A66" s="70" t="s">
        <v>189</v>
      </c>
      <c r="B66" s="78">
        <v>120201</v>
      </c>
      <c r="C66" s="88" t="s">
        <v>592</v>
      </c>
      <c r="D66" s="89" t="s">
        <v>4</v>
      </c>
      <c r="E66" s="74">
        <v>6.03</v>
      </c>
      <c r="F66" s="76">
        <v>359.93</v>
      </c>
      <c r="G66" s="76">
        <v>60.83</v>
      </c>
      <c r="H66" s="75">
        <f t="shared" ref="H66:H67" si="25">F66+G66</f>
        <v>420.76</v>
      </c>
      <c r="I66" s="76">
        <f t="shared" ref="I66" si="26">H66*(1+$J$4)</f>
        <v>546.98800000000006</v>
      </c>
      <c r="J66" s="77">
        <f>E66*I66</f>
        <v>3298.3376400000006</v>
      </c>
      <c r="K66" s="280" t="s">
        <v>1168</v>
      </c>
      <c r="L66" s="281"/>
      <c r="M66" s="281"/>
    </row>
    <row r="67" spans="1:13" s="12" customFormat="1" ht="45" outlineLevel="1">
      <c r="A67" s="70" t="s">
        <v>239</v>
      </c>
      <c r="B67" s="78">
        <v>120202</v>
      </c>
      <c r="C67" s="88" t="s">
        <v>240</v>
      </c>
      <c r="D67" s="89" t="s">
        <v>4</v>
      </c>
      <c r="E67" s="74">
        <v>50.28</v>
      </c>
      <c r="F67" s="76">
        <v>525.12000000000012</v>
      </c>
      <c r="G67" s="76">
        <v>60.83</v>
      </c>
      <c r="H67" s="75">
        <f t="shared" si="25"/>
        <v>585.95000000000016</v>
      </c>
      <c r="I67" s="76">
        <f t="shared" ref="I67" si="27">H67*(1+$J$4)</f>
        <v>761.73500000000024</v>
      </c>
      <c r="J67" s="77">
        <f>E67*I67</f>
        <v>38300.035800000012</v>
      </c>
      <c r="K67" s="280"/>
      <c r="L67" s="281"/>
      <c r="M67" s="281"/>
    </row>
    <row r="68" spans="1:13" s="12" customFormat="1">
      <c r="A68" s="58" t="s">
        <v>26</v>
      </c>
      <c r="B68" s="58"/>
      <c r="C68" s="91" t="s">
        <v>110</v>
      </c>
      <c r="D68" s="59"/>
      <c r="E68" s="59"/>
      <c r="F68" s="60"/>
      <c r="G68" s="60"/>
      <c r="H68" s="61"/>
      <c r="I68" s="61"/>
      <c r="J68" s="62">
        <f ca="1">SUM(OFFSET(J68,1,,,):OFFSET(J79,-1,,,))</f>
        <v>46366.636999999995</v>
      </c>
      <c r="K68" s="280"/>
      <c r="L68" s="281"/>
      <c r="M68" s="281"/>
    </row>
    <row r="69" spans="1:13" s="5" customFormat="1" ht="45" outlineLevel="1">
      <c r="A69" s="97" t="s">
        <v>36</v>
      </c>
      <c r="B69" s="97"/>
      <c r="C69" s="98" t="s">
        <v>241</v>
      </c>
      <c r="D69" s="89"/>
      <c r="E69" s="99"/>
      <c r="F69" s="100"/>
      <c r="G69" s="100"/>
      <c r="H69" s="99"/>
      <c r="I69" s="101"/>
      <c r="J69" s="102"/>
      <c r="K69" s="280" t="s">
        <v>1168</v>
      </c>
      <c r="L69" s="281"/>
      <c r="M69" s="281"/>
    </row>
    <row r="70" spans="1:13" s="5" customFormat="1" outlineLevel="1">
      <c r="A70" s="71" t="s">
        <v>121</v>
      </c>
      <c r="B70" s="71" t="s">
        <v>600</v>
      </c>
      <c r="C70" s="103" t="s">
        <v>291</v>
      </c>
      <c r="D70" s="89" t="s">
        <v>8</v>
      </c>
      <c r="E70" s="74">
        <v>1</v>
      </c>
      <c r="F70" s="75">
        <v>965</v>
      </c>
      <c r="G70" s="100">
        <v>180</v>
      </c>
      <c r="H70" s="75">
        <f t="shared" ref="H70:H71" si="28">F70+G70</f>
        <v>1145</v>
      </c>
      <c r="I70" s="76">
        <f t="shared" ref="I70" si="29">H70*(1+$J$4)</f>
        <v>1488.5</v>
      </c>
      <c r="J70" s="77">
        <f>E70*I70</f>
        <v>1488.5</v>
      </c>
      <c r="K70" s="280"/>
      <c r="L70" s="281"/>
      <c r="M70" s="281"/>
    </row>
    <row r="71" spans="1:13" s="5" customFormat="1" outlineLevel="1">
      <c r="A71" s="71" t="s">
        <v>122</v>
      </c>
      <c r="B71" s="71" t="s">
        <v>600</v>
      </c>
      <c r="C71" s="103" t="s">
        <v>292</v>
      </c>
      <c r="D71" s="89" t="s">
        <v>8</v>
      </c>
      <c r="E71" s="74">
        <v>7</v>
      </c>
      <c r="F71" s="75">
        <v>1044</v>
      </c>
      <c r="G71" s="100">
        <v>180</v>
      </c>
      <c r="H71" s="75">
        <f t="shared" si="28"/>
        <v>1224</v>
      </c>
      <c r="I71" s="76">
        <f t="shared" ref="I71" si="30">H71*(1+$J$4)</f>
        <v>1591.2</v>
      </c>
      <c r="J71" s="77">
        <f>E71*I71</f>
        <v>11138.4</v>
      </c>
      <c r="K71" s="280"/>
      <c r="L71" s="281"/>
      <c r="M71" s="281"/>
    </row>
    <row r="72" spans="1:13" s="5" customFormat="1" ht="45" outlineLevel="1">
      <c r="A72" s="97" t="s">
        <v>190</v>
      </c>
      <c r="B72" s="78"/>
      <c r="C72" s="98" t="s">
        <v>242</v>
      </c>
      <c r="D72" s="89"/>
      <c r="E72" s="99"/>
      <c r="F72" s="100"/>
      <c r="G72" s="100"/>
      <c r="H72" s="100"/>
      <c r="I72" s="104"/>
      <c r="J72" s="102"/>
      <c r="K72" s="280" t="s">
        <v>1168</v>
      </c>
      <c r="L72" s="281"/>
      <c r="M72" s="281"/>
    </row>
    <row r="73" spans="1:13" s="5" customFormat="1" outlineLevel="1">
      <c r="A73" s="71" t="s">
        <v>191</v>
      </c>
      <c r="B73" s="71" t="s">
        <v>600</v>
      </c>
      <c r="C73" s="103" t="s">
        <v>638</v>
      </c>
      <c r="D73" s="89" t="s">
        <v>8</v>
      </c>
      <c r="E73" s="74">
        <v>1</v>
      </c>
      <c r="F73" s="75">
        <v>4290</v>
      </c>
      <c r="G73" s="100">
        <v>200</v>
      </c>
      <c r="H73" s="75">
        <f>F73+G73</f>
        <v>4490</v>
      </c>
      <c r="I73" s="76">
        <f t="shared" ref="I73" si="31">H73*(1+$J$4)</f>
        <v>5837</v>
      </c>
      <c r="J73" s="77">
        <f>E73*I73</f>
        <v>5837</v>
      </c>
      <c r="K73" s="280"/>
      <c r="L73" s="281"/>
      <c r="M73" s="281"/>
    </row>
    <row r="74" spans="1:13" s="5" customFormat="1" ht="45" outlineLevel="1">
      <c r="A74" s="97" t="s">
        <v>192</v>
      </c>
      <c r="B74" s="78"/>
      <c r="C74" s="98" t="s">
        <v>875</v>
      </c>
      <c r="D74" s="89"/>
      <c r="E74" s="99"/>
      <c r="F74" s="100"/>
      <c r="G74" s="100"/>
      <c r="H74" s="100"/>
      <c r="I74" s="104"/>
      <c r="J74" s="102"/>
      <c r="K74" s="280"/>
      <c r="L74" s="281"/>
      <c r="M74" s="281"/>
    </row>
    <row r="75" spans="1:13" s="5" customFormat="1" outlineLevel="1">
      <c r="A75" s="71" t="s">
        <v>193</v>
      </c>
      <c r="B75" s="71" t="s">
        <v>600</v>
      </c>
      <c r="C75" s="103" t="s">
        <v>293</v>
      </c>
      <c r="D75" s="89" t="s">
        <v>8</v>
      </c>
      <c r="E75" s="74">
        <v>4</v>
      </c>
      <c r="F75" s="75">
        <v>4551.9399999999996</v>
      </c>
      <c r="G75" s="75">
        <v>240</v>
      </c>
      <c r="H75" s="75">
        <f>F75+G75</f>
        <v>4791.9399999999996</v>
      </c>
      <c r="I75" s="76">
        <f t="shared" ref="I75" si="32">H75*(1+$J$4)</f>
        <v>6229.5219999999999</v>
      </c>
      <c r="J75" s="77">
        <f>E75*I75</f>
        <v>24918.088</v>
      </c>
      <c r="K75" s="280" t="s">
        <v>1168</v>
      </c>
      <c r="L75" s="281"/>
      <c r="M75" s="281"/>
    </row>
    <row r="76" spans="1:13" s="5" customFormat="1" outlineLevel="1">
      <c r="A76" s="97" t="s">
        <v>294</v>
      </c>
      <c r="B76" s="97"/>
      <c r="C76" s="98" t="s">
        <v>111</v>
      </c>
      <c r="D76" s="89"/>
      <c r="E76" s="87"/>
      <c r="F76" s="105"/>
      <c r="G76" s="105"/>
      <c r="H76" s="105"/>
      <c r="I76" s="106"/>
      <c r="J76" s="75"/>
      <c r="K76" s="280"/>
      <c r="L76" s="281"/>
      <c r="M76" s="281"/>
    </row>
    <row r="77" spans="1:13" s="5" customFormat="1" ht="22.5" outlineLevel="1">
      <c r="A77" s="71" t="s">
        <v>295</v>
      </c>
      <c r="B77" s="71" t="s">
        <v>600</v>
      </c>
      <c r="C77" s="103" t="s">
        <v>601</v>
      </c>
      <c r="D77" s="89" t="s">
        <v>8</v>
      </c>
      <c r="E77" s="74">
        <f>E75</f>
        <v>4</v>
      </c>
      <c r="F77" s="75">
        <v>450</v>
      </c>
      <c r="G77" s="75">
        <v>150</v>
      </c>
      <c r="H77" s="75">
        <f t="shared" ref="H77:H78" si="33">F77+G77</f>
        <v>600</v>
      </c>
      <c r="I77" s="76">
        <f t="shared" ref="I77:I78" si="34">H77*(1+$J$4)</f>
        <v>780</v>
      </c>
      <c r="J77" s="75">
        <f>E77*H77</f>
        <v>2400</v>
      </c>
      <c r="K77" s="280"/>
      <c r="L77" s="281"/>
      <c r="M77" s="281"/>
    </row>
    <row r="78" spans="1:13" s="5" customFormat="1" outlineLevel="1">
      <c r="A78" s="71" t="s">
        <v>602</v>
      </c>
      <c r="B78" s="78">
        <v>61309</v>
      </c>
      <c r="C78" s="88" t="s">
        <v>152</v>
      </c>
      <c r="D78" s="89" t="s">
        <v>8</v>
      </c>
      <c r="E78" s="74">
        <f>E70+E71+E73</f>
        <v>9</v>
      </c>
      <c r="F78" s="75">
        <v>42</v>
      </c>
      <c r="G78" s="75">
        <v>7.97</v>
      </c>
      <c r="H78" s="75">
        <f t="shared" si="33"/>
        <v>49.97</v>
      </c>
      <c r="I78" s="76">
        <f t="shared" si="34"/>
        <v>64.960999999999999</v>
      </c>
      <c r="J78" s="77">
        <f>E78*I78</f>
        <v>584.649</v>
      </c>
      <c r="K78" s="280" t="s">
        <v>1168</v>
      </c>
      <c r="L78" s="281"/>
      <c r="M78" s="281"/>
    </row>
    <row r="79" spans="1:13" s="12" customFormat="1">
      <c r="A79" s="58" t="s">
        <v>27</v>
      </c>
      <c r="B79" s="58"/>
      <c r="C79" s="91" t="s">
        <v>112</v>
      </c>
      <c r="D79" s="59"/>
      <c r="E79" s="59"/>
      <c r="F79" s="60"/>
      <c r="G79" s="60"/>
      <c r="H79" s="61"/>
      <c r="I79" s="61"/>
      <c r="J79" s="62">
        <f ca="1">SUM(OFFSET(J79,1,,,):OFFSET(J84,-1,,,))</f>
        <v>124131.8</v>
      </c>
      <c r="K79" s="280"/>
      <c r="L79" s="281"/>
      <c r="M79" s="281"/>
    </row>
    <row r="80" spans="1:13" s="4" customFormat="1" outlineLevel="1">
      <c r="A80" s="63" t="s">
        <v>123</v>
      </c>
      <c r="B80" s="63"/>
      <c r="C80" s="96" t="s">
        <v>296</v>
      </c>
      <c r="D80" s="65"/>
      <c r="E80" s="66"/>
      <c r="F80" s="67"/>
      <c r="G80" s="67"/>
      <c r="H80" s="68"/>
      <c r="I80" s="68"/>
      <c r="J80" s="69"/>
      <c r="K80" s="280"/>
      <c r="L80" s="281"/>
      <c r="M80" s="281"/>
    </row>
    <row r="81" spans="1:20" s="12" customFormat="1" ht="33.75" outlineLevel="1">
      <c r="A81" s="71" t="s">
        <v>124</v>
      </c>
      <c r="B81" s="71" t="s">
        <v>158</v>
      </c>
      <c r="C81" s="94" t="s">
        <v>585</v>
      </c>
      <c r="D81" s="79" t="s">
        <v>4</v>
      </c>
      <c r="E81" s="74">
        <v>30.41</v>
      </c>
      <c r="F81" s="81">
        <v>80</v>
      </c>
      <c r="G81" s="81">
        <v>0</v>
      </c>
      <c r="H81" s="75">
        <f t="shared" ref="H81:H83" si="35">F81+G81</f>
        <v>80</v>
      </c>
      <c r="I81" s="76">
        <f t="shared" ref="I81" si="36">H81*(1+$J$4)</f>
        <v>104</v>
      </c>
      <c r="J81" s="77">
        <f>E81*I81</f>
        <v>3162.64</v>
      </c>
      <c r="K81" s="280" t="s">
        <v>1168</v>
      </c>
      <c r="L81" s="281"/>
      <c r="M81" s="281"/>
    </row>
    <row r="82" spans="1:20" s="4" customFormat="1" ht="33.75" outlineLevel="1">
      <c r="A82" s="71" t="s">
        <v>125</v>
      </c>
      <c r="B82" s="71" t="s">
        <v>158</v>
      </c>
      <c r="C82" s="94" t="s">
        <v>297</v>
      </c>
      <c r="D82" s="79" t="s">
        <v>4</v>
      </c>
      <c r="E82" s="74">
        <v>113.97</v>
      </c>
      <c r="F82" s="81">
        <v>80</v>
      </c>
      <c r="G82" s="81">
        <v>0</v>
      </c>
      <c r="H82" s="75">
        <f t="shared" si="35"/>
        <v>80</v>
      </c>
      <c r="I82" s="76">
        <f t="shared" ref="I82:I83" si="37">H82*(1+$J$4)</f>
        <v>104</v>
      </c>
      <c r="J82" s="77">
        <f>E82*I82</f>
        <v>11852.88</v>
      </c>
      <c r="K82" s="280"/>
      <c r="L82" s="281"/>
      <c r="M82" s="281"/>
    </row>
    <row r="83" spans="1:20" s="4" customFormat="1" ht="37.5" customHeight="1" outlineLevel="1">
      <c r="A83" s="71" t="s">
        <v>126</v>
      </c>
      <c r="B83" s="71" t="s">
        <v>158</v>
      </c>
      <c r="C83" s="94" t="s">
        <v>584</v>
      </c>
      <c r="D83" s="79" t="s">
        <v>4</v>
      </c>
      <c r="E83" s="74">
        <v>270.76</v>
      </c>
      <c r="F83" s="81">
        <v>310</v>
      </c>
      <c r="G83" s="81">
        <v>0</v>
      </c>
      <c r="H83" s="75">
        <f t="shared" si="35"/>
        <v>310</v>
      </c>
      <c r="I83" s="76">
        <f t="shared" si="37"/>
        <v>403</v>
      </c>
      <c r="J83" s="77">
        <f>E83*I83</f>
        <v>109116.28</v>
      </c>
      <c r="K83" s="280"/>
      <c r="L83" s="281"/>
      <c r="M83" s="281"/>
    </row>
    <row r="84" spans="1:20" s="12" customFormat="1">
      <c r="A84" s="58" t="s">
        <v>28</v>
      </c>
      <c r="B84" s="58"/>
      <c r="C84" s="91" t="s">
        <v>6</v>
      </c>
      <c r="D84" s="59"/>
      <c r="E84" s="59"/>
      <c r="F84" s="60"/>
      <c r="G84" s="60"/>
      <c r="H84" s="61"/>
      <c r="I84" s="61"/>
      <c r="J84" s="62">
        <f ca="1">SUM(OFFSET(J84,1,,,):OFFSET(J94,-1,,,))</f>
        <v>42433.91646</v>
      </c>
      <c r="K84" s="280" t="s">
        <v>1168</v>
      </c>
      <c r="L84" s="281"/>
      <c r="M84" s="281"/>
    </row>
    <row r="85" spans="1:20" s="12" customFormat="1" outlineLevel="1">
      <c r="A85" s="63" t="s">
        <v>37</v>
      </c>
      <c r="B85" s="63"/>
      <c r="C85" s="96" t="s">
        <v>51</v>
      </c>
      <c r="D85" s="65"/>
      <c r="E85" s="66"/>
      <c r="F85" s="67"/>
      <c r="G85" s="67"/>
      <c r="H85" s="68"/>
      <c r="I85" s="68"/>
      <c r="J85" s="69"/>
      <c r="K85" s="280"/>
      <c r="L85" s="281"/>
      <c r="M85" s="281"/>
    </row>
    <row r="86" spans="1:20" s="12" customFormat="1" outlineLevel="1">
      <c r="A86" s="71" t="s">
        <v>127</v>
      </c>
      <c r="B86" s="78">
        <v>190114</v>
      </c>
      <c r="C86" s="94" t="s">
        <v>593</v>
      </c>
      <c r="D86" s="79" t="s">
        <v>4</v>
      </c>
      <c r="E86" s="74">
        <v>549.86</v>
      </c>
      <c r="F86" s="75">
        <v>1.2</v>
      </c>
      <c r="G86" s="75">
        <v>4.88</v>
      </c>
      <c r="H86" s="75">
        <f t="shared" ref="H86:H89" si="38">F86+G86</f>
        <v>6.08</v>
      </c>
      <c r="I86" s="76">
        <f t="shared" ref="I86" si="39">H86*(1+$J$4)</f>
        <v>7.9040000000000008</v>
      </c>
      <c r="J86" s="77">
        <f>E86*I86</f>
        <v>4346.0934400000006</v>
      </c>
      <c r="K86" s="280"/>
      <c r="L86" s="281"/>
      <c r="M86" s="281"/>
    </row>
    <row r="87" spans="1:20" s="4" customFormat="1" ht="22.5" customHeight="1" outlineLevel="1">
      <c r="A87" s="71" t="s">
        <v>128</v>
      </c>
      <c r="B87" s="78">
        <v>190103</v>
      </c>
      <c r="C87" s="94" t="s">
        <v>595</v>
      </c>
      <c r="D87" s="79" t="s">
        <v>4</v>
      </c>
      <c r="E87" s="74">
        <v>549.86</v>
      </c>
      <c r="F87" s="75">
        <v>6.09</v>
      </c>
      <c r="G87" s="75">
        <v>12.6</v>
      </c>
      <c r="H87" s="75">
        <f t="shared" si="38"/>
        <v>18.689999999999998</v>
      </c>
      <c r="I87" s="76">
        <f t="shared" ref="I87:I89" si="40">H87*(1+$J$4)</f>
        <v>24.296999999999997</v>
      </c>
      <c r="J87" s="77">
        <f>E87*I87</f>
        <v>13359.948419999999</v>
      </c>
      <c r="K87" s="280" t="s">
        <v>1168</v>
      </c>
      <c r="L87" s="281"/>
      <c r="M87" s="281"/>
    </row>
    <row r="88" spans="1:20" s="4" customFormat="1" ht="22.5" outlineLevel="1">
      <c r="A88" s="71" t="s">
        <v>194</v>
      </c>
      <c r="B88" s="78">
        <v>190117</v>
      </c>
      <c r="C88" s="94" t="s">
        <v>594</v>
      </c>
      <c r="D88" s="73" t="s">
        <v>4</v>
      </c>
      <c r="E88" s="74">
        <v>529.71</v>
      </c>
      <c r="F88" s="75">
        <v>9.2900000000000009</v>
      </c>
      <c r="G88" s="75">
        <v>15.43</v>
      </c>
      <c r="H88" s="75">
        <f t="shared" si="38"/>
        <v>24.72</v>
      </c>
      <c r="I88" s="76">
        <f t="shared" si="40"/>
        <v>32.136000000000003</v>
      </c>
      <c r="J88" s="77">
        <f>E88*I88</f>
        <v>17022.760560000002</v>
      </c>
      <c r="K88" s="280"/>
      <c r="L88" s="281"/>
      <c r="M88" s="281"/>
    </row>
    <row r="89" spans="1:20" ht="22.5" outlineLevel="1">
      <c r="A89" s="71" t="s">
        <v>279</v>
      </c>
      <c r="B89" s="78">
        <v>190118</v>
      </c>
      <c r="C89" s="94" t="s">
        <v>278</v>
      </c>
      <c r="D89" s="73" t="s">
        <v>4</v>
      </c>
      <c r="E89" s="74">
        <v>20.149999999999999</v>
      </c>
      <c r="F89" s="75">
        <v>51.24</v>
      </c>
      <c r="G89" s="75">
        <v>28.03</v>
      </c>
      <c r="H89" s="75">
        <f t="shared" si="38"/>
        <v>79.27000000000001</v>
      </c>
      <c r="I89" s="76">
        <f t="shared" si="40"/>
        <v>103.05100000000002</v>
      </c>
      <c r="J89" s="77">
        <f>E89*I89</f>
        <v>2076.4776500000003</v>
      </c>
      <c r="K89" s="280"/>
      <c r="L89" s="281"/>
      <c r="M89" s="281"/>
    </row>
    <row r="90" spans="1:20" s="12" customFormat="1" outlineLevel="1">
      <c r="A90" s="63" t="s">
        <v>195</v>
      </c>
      <c r="B90" s="63"/>
      <c r="C90" s="96" t="s">
        <v>52</v>
      </c>
      <c r="D90" s="65"/>
      <c r="E90" s="66"/>
      <c r="F90" s="67"/>
      <c r="G90" s="67"/>
      <c r="H90" s="68"/>
      <c r="I90" s="68"/>
      <c r="J90" s="69"/>
      <c r="K90" s="280" t="s">
        <v>1168</v>
      </c>
      <c r="L90" s="281"/>
      <c r="M90" s="281"/>
    </row>
    <row r="91" spans="1:20" s="12" customFormat="1" outlineLevel="1">
      <c r="A91" s="71" t="s">
        <v>196</v>
      </c>
      <c r="B91" s="78">
        <v>190114</v>
      </c>
      <c r="C91" s="94" t="s">
        <v>277</v>
      </c>
      <c r="D91" s="79" t="s">
        <v>4</v>
      </c>
      <c r="E91" s="74">
        <v>113.97</v>
      </c>
      <c r="F91" s="75">
        <v>1.2</v>
      </c>
      <c r="G91" s="75">
        <v>4.88</v>
      </c>
      <c r="H91" s="75">
        <f t="shared" ref="H91:H93" si="41">F91+G91</f>
        <v>6.08</v>
      </c>
      <c r="I91" s="76">
        <f t="shared" ref="I91" si="42">H91*(1+$J$4)</f>
        <v>7.9040000000000008</v>
      </c>
      <c r="J91" s="77">
        <f>E91*I91</f>
        <v>900.81888000000004</v>
      </c>
      <c r="K91" s="280"/>
      <c r="L91" s="281"/>
      <c r="M91" s="281"/>
    </row>
    <row r="92" spans="1:20" ht="15" customHeight="1" outlineLevel="1">
      <c r="A92" s="71" t="s">
        <v>197</v>
      </c>
      <c r="B92" s="78">
        <v>190101</v>
      </c>
      <c r="C92" s="94" t="s">
        <v>596</v>
      </c>
      <c r="D92" s="79" t="s">
        <v>4</v>
      </c>
      <c r="E92" s="74">
        <v>113.97</v>
      </c>
      <c r="F92" s="75">
        <v>2.94</v>
      </c>
      <c r="G92" s="75">
        <v>10.58</v>
      </c>
      <c r="H92" s="75">
        <f t="shared" si="41"/>
        <v>13.52</v>
      </c>
      <c r="I92" s="76">
        <f t="shared" ref="I92:I93" si="43">H92*(1+$J$4)</f>
        <v>17.576000000000001</v>
      </c>
      <c r="J92" s="77">
        <f>E92*I92</f>
        <v>2003.13672</v>
      </c>
      <c r="K92" s="280"/>
      <c r="L92" s="281"/>
      <c r="M92" s="281"/>
    </row>
    <row r="93" spans="1:20" ht="24.75" customHeight="1" outlineLevel="1">
      <c r="A93" s="71" t="s">
        <v>280</v>
      </c>
      <c r="B93" s="78">
        <v>190104</v>
      </c>
      <c r="C93" s="94" t="s">
        <v>597</v>
      </c>
      <c r="D93" s="73" t="s">
        <v>4</v>
      </c>
      <c r="E93" s="74">
        <v>113.97</v>
      </c>
      <c r="F93" s="75">
        <v>6.3699999999999992</v>
      </c>
      <c r="G93" s="75">
        <v>12.02</v>
      </c>
      <c r="H93" s="75">
        <f t="shared" si="41"/>
        <v>18.39</v>
      </c>
      <c r="I93" s="76">
        <f t="shared" si="43"/>
        <v>23.907</v>
      </c>
      <c r="J93" s="77">
        <f>E93*I93</f>
        <v>2724.6807899999999</v>
      </c>
      <c r="K93" s="280" t="s">
        <v>1168</v>
      </c>
      <c r="L93" s="281"/>
      <c r="M93" s="281"/>
    </row>
    <row r="94" spans="1:20" s="12" customFormat="1">
      <c r="A94" s="58" t="s">
        <v>29</v>
      </c>
      <c r="B94" s="58"/>
      <c r="C94" s="91" t="s">
        <v>309</v>
      </c>
      <c r="D94" s="59"/>
      <c r="E94" s="59"/>
      <c r="F94" s="60"/>
      <c r="G94" s="60"/>
      <c r="H94" s="61"/>
      <c r="I94" s="61"/>
      <c r="J94" s="62">
        <f ca="1">SUM(OFFSET(J94,1,,,):OFFSET(J99,-1,,,))</f>
        <v>5490.5110000000004</v>
      </c>
      <c r="K94" s="280"/>
      <c r="L94" s="281"/>
      <c r="M94" s="281"/>
    </row>
    <row r="95" spans="1:20" s="12" customFormat="1" outlineLevel="1">
      <c r="A95" s="63" t="s">
        <v>38</v>
      </c>
      <c r="B95" s="63"/>
      <c r="C95" s="96" t="s">
        <v>308</v>
      </c>
      <c r="D95" s="65"/>
      <c r="E95" s="66"/>
      <c r="F95" s="67"/>
      <c r="G95" s="67"/>
      <c r="H95" s="68"/>
      <c r="I95" s="68"/>
      <c r="J95" s="69"/>
      <c r="K95" s="280"/>
      <c r="L95" s="281"/>
      <c r="M95" s="281"/>
    </row>
    <row r="96" spans="1:20" s="4" customFormat="1" ht="45" outlineLevel="1">
      <c r="A96" s="71" t="s">
        <v>68</v>
      </c>
      <c r="B96" s="93">
        <v>170205</v>
      </c>
      <c r="C96" s="107" t="s">
        <v>1160</v>
      </c>
      <c r="D96" s="79" t="s">
        <v>8</v>
      </c>
      <c r="E96" s="74">
        <v>2</v>
      </c>
      <c r="F96" s="75">
        <v>1257.21</v>
      </c>
      <c r="G96" s="75">
        <v>141.19999999999999</v>
      </c>
      <c r="H96" s="75">
        <f>F96+G96</f>
        <v>1398.41</v>
      </c>
      <c r="I96" s="76">
        <f t="shared" ref="I96" si="44">H96*(1+$J$4)</f>
        <v>1817.9330000000002</v>
      </c>
      <c r="J96" s="77">
        <f>E96*I96</f>
        <v>3635.8660000000004</v>
      </c>
      <c r="K96" s="280" t="s">
        <v>1168</v>
      </c>
      <c r="L96" s="281"/>
      <c r="M96" s="281"/>
      <c r="N96" s="8"/>
      <c r="O96" s="8"/>
      <c r="P96" s="10"/>
      <c r="Q96" s="9"/>
      <c r="R96" s="9"/>
      <c r="S96" s="9"/>
      <c r="T96" s="9"/>
    </row>
    <row r="97" spans="1:20" s="12" customFormat="1" outlineLevel="1">
      <c r="A97" s="63" t="s">
        <v>69</v>
      </c>
      <c r="B97" s="63"/>
      <c r="C97" s="96" t="s">
        <v>59</v>
      </c>
      <c r="D97" s="65"/>
      <c r="E97" s="66"/>
      <c r="F97" s="67"/>
      <c r="G97" s="67"/>
      <c r="H97" s="68"/>
      <c r="I97" s="68"/>
      <c r="J97" s="69"/>
      <c r="K97" s="280"/>
      <c r="L97" s="281"/>
      <c r="M97" s="281"/>
    </row>
    <row r="98" spans="1:20" s="4" customFormat="1" ht="45" outlineLevel="1">
      <c r="A98" s="71" t="s">
        <v>75</v>
      </c>
      <c r="B98" s="93">
        <v>170206</v>
      </c>
      <c r="C98" s="107" t="s">
        <v>1161</v>
      </c>
      <c r="D98" s="79" t="s">
        <v>8</v>
      </c>
      <c r="E98" s="74">
        <v>1</v>
      </c>
      <c r="F98" s="75">
        <v>1257.21</v>
      </c>
      <c r="G98" s="75">
        <v>169.44</v>
      </c>
      <c r="H98" s="75">
        <f>F98+G98</f>
        <v>1426.65</v>
      </c>
      <c r="I98" s="76">
        <f t="shared" ref="I98" si="45">H98*(1+$J$4)</f>
        <v>1854.6450000000002</v>
      </c>
      <c r="J98" s="77">
        <f>E98*I98</f>
        <v>1854.6450000000002</v>
      </c>
      <c r="K98" s="280"/>
      <c r="L98" s="281"/>
      <c r="M98" s="281"/>
      <c r="N98" s="8"/>
      <c r="O98" s="8"/>
      <c r="P98" s="10"/>
      <c r="Q98" s="9"/>
      <c r="R98" s="9"/>
      <c r="S98" s="9"/>
      <c r="T98" s="9"/>
    </row>
    <row r="99" spans="1:20" s="12" customFormat="1">
      <c r="A99" s="58" t="s">
        <v>113</v>
      </c>
      <c r="B99" s="58"/>
      <c r="C99" s="91" t="s">
        <v>14</v>
      </c>
      <c r="D99" s="59"/>
      <c r="E99" s="59"/>
      <c r="F99" s="60"/>
      <c r="G99" s="60"/>
      <c r="H99" s="61"/>
      <c r="I99" s="61"/>
      <c r="J99" s="62">
        <f ca="1">SUM(OFFSET(J99,1,,,):OFFSET(J151,-1,,,))</f>
        <v>17454.985166666669</v>
      </c>
      <c r="K99" s="280" t="s">
        <v>1168</v>
      </c>
      <c r="L99" s="281"/>
      <c r="M99" s="281"/>
    </row>
    <row r="100" spans="1:20" s="12" customFormat="1" outlineLevel="1">
      <c r="A100" s="63" t="s">
        <v>198</v>
      </c>
      <c r="B100" s="63"/>
      <c r="C100" s="96" t="s">
        <v>900</v>
      </c>
      <c r="D100" s="65"/>
      <c r="E100" s="66"/>
      <c r="F100" s="67"/>
      <c r="G100" s="67"/>
      <c r="H100" s="68"/>
      <c r="I100" s="68"/>
      <c r="J100" s="69"/>
      <c r="K100" s="280"/>
      <c r="L100" s="281"/>
      <c r="M100" s="281"/>
    </row>
    <row r="101" spans="1:20" s="12" customFormat="1" outlineLevel="1">
      <c r="A101" s="108" t="s">
        <v>199</v>
      </c>
      <c r="B101" s="108"/>
      <c r="C101" s="109" t="s">
        <v>696</v>
      </c>
      <c r="D101" s="110"/>
      <c r="E101" s="111"/>
      <c r="F101" s="112"/>
      <c r="G101" s="112"/>
      <c r="H101" s="113"/>
      <c r="I101" s="113"/>
      <c r="J101" s="114"/>
      <c r="K101" s="280"/>
      <c r="L101" s="281"/>
      <c r="M101" s="281"/>
    </row>
    <row r="102" spans="1:20" s="12" customFormat="1" outlineLevel="1">
      <c r="A102" s="71" t="s">
        <v>901</v>
      </c>
      <c r="B102" s="78" t="s">
        <v>158</v>
      </c>
      <c r="C102" s="94" t="s">
        <v>697</v>
      </c>
      <c r="D102" s="79" t="s">
        <v>679</v>
      </c>
      <c r="E102" s="74">
        <v>1</v>
      </c>
      <c r="F102" s="75">
        <v>132.81</v>
      </c>
      <c r="G102" s="75">
        <v>0</v>
      </c>
      <c r="H102" s="75">
        <f t="shared" ref="H102:H105" si="46">F102+G102</f>
        <v>132.81</v>
      </c>
      <c r="I102" s="76">
        <f t="shared" ref="I102:I105" si="47">H102*(1+$J$4)</f>
        <v>172.65300000000002</v>
      </c>
      <c r="J102" s="77">
        <f t="shared" ref="J102:J105" si="48">E102*I102</f>
        <v>172.65300000000002</v>
      </c>
      <c r="K102" s="280" t="s">
        <v>1168</v>
      </c>
      <c r="L102" s="281"/>
      <c r="M102" s="281"/>
    </row>
    <row r="103" spans="1:20" s="12" customFormat="1" outlineLevel="1">
      <c r="A103" s="71" t="s">
        <v>902</v>
      </c>
      <c r="B103" s="78" t="s">
        <v>158</v>
      </c>
      <c r="C103" s="94" t="s">
        <v>698</v>
      </c>
      <c r="D103" s="79" t="s">
        <v>679</v>
      </c>
      <c r="E103" s="74">
        <v>3</v>
      </c>
      <c r="F103" s="75">
        <v>104.9</v>
      </c>
      <c r="G103" s="75">
        <v>0</v>
      </c>
      <c r="H103" s="75">
        <f t="shared" si="46"/>
        <v>104.9</v>
      </c>
      <c r="I103" s="76">
        <f t="shared" si="47"/>
        <v>136.37</v>
      </c>
      <c r="J103" s="77">
        <f t="shared" si="48"/>
        <v>409.11</v>
      </c>
      <c r="K103" s="280"/>
      <c r="L103" s="281"/>
      <c r="M103" s="281"/>
    </row>
    <row r="104" spans="1:20" s="12" customFormat="1" outlineLevel="1">
      <c r="A104" s="71" t="s">
        <v>903</v>
      </c>
      <c r="B104" s="78" t="s">
        <v>158</v>
      </c>
      <c r="C104" s="94" t="s">
        <v>699</v>
      </c>
      <c r="D104" s="79" t="s">
        <v>679</v>
      </c>
      <c r="E104" s="74">
        <v>1</v>
      </c>
      <c r="F104" s="75">
        <v>40.85</v>
      </c>
      <c r="G104" s="75">
        <v>0</v>
      </c>
      <c r="H104" s="75">
        <f t="shared" si="46"/>
        <v>40.85</v>
      </c>
      <c r="I104" s="76">
        <f t="shared" si="47"/>
        <v>53.105000000000004</v>
      </c>
      <c r="J104" s="77">
        <f t="shared" si="48"/>
        <v>53.105000000000004</v>
      </c>
      <c r="K104" s="280"/>
      <c r="L104" s="281"/>
      <c r="M104" s="281"/>
    </row>
    <row r="105" spans="1:20" s="12" customFormat="1" outlineLevel="1">
      <c r="A105" s="71" t="s">
        <v>904</v>
      </c>
      <c r="B105" s="78" t="s">
        <v>158</v>
      </c>
      <c r="C105" s="94" t="s">
        <v>700</v>
      </c>
      <c r="D105" s="79" t="s">
        <v>679</v>
      </c>
      <c r="E105" s="74">
        <v>2</v>
      </c>
      <c r="F105" s="75">
        <v>153.22</v>
      </c>
      <c r="G105" s="75">
        <v>0</v>
      </c>
      <c r="H105" s="75">
        <f t="shared" si="46"/>
        <v>153.22</v>
      </c>
      <c r="I105" s="76">
        <f t="shared" si="47"/>
        <v>199.18600000000001</v>
      </c>
      <c r="J105" s="77">
        <f t="shared" si="48"/>
        <v>398.37200000000001</v>
      </c>
      <c r="K105" s="280" t="s">
        <v>1168</v>
      </c>
      <c r="L105" s="281"/>
      <c r="M105" s="281"/>
    </row>
    <row r="106" spans="1:20" s="12" customFormat="1" outlineLevel="1">
      <c r="A106" s="108" t="s">
        <v>290</v>
      </c>
      <c r="B106" s="108"/>
      <c r="C106" s="109" t="s">
        <v>695</v>
      </c>
      <c r="D106" s="110"/>
      <c r="E106" s="111"/>
      <c r="F106" s="112"/>
      <c r="G106" s="112"/>
      <c r="H106" s="113"/>
      <c r="I106" s="113"/>
      <c r="J106" s="114"/>
      <c r="K106" s="280"/>
      <c r="L106" s="281"/>
      <c r="M106" s="281"/>
    </row>
    <row r="107" spans="1:20" s="12" customFormat="1" outlineLevel="1">
      <c r="A107" s="71" t="s">
        <v>905</v>
      </c>
      <c r="B107" s="78" t="s">
        <v>158</v>
      </c>
      <c r="C107" s="94" t="s">
        <v>718</v>
      </c>
      <c r="D107" s="79" t="s">
        <v>679</v>
      </c>
      <c r="E107" s="74">
        <v>2</v>
      </c>
      <c r="F107" s="75">
        <v>6.59</v>
      </c>
      <c r="G107" s="75">
        <v>0</v>
      </c>
      <c r="H107" s="75">
        <f t="shared" ref="H107:H129" si="49">F107+G107</f>
        <v>6.59</v>
      </c>
      <c r="I107" s="76">
        <f t="shared" ref="I107:I129" si="50">H107*(1+$J$4)</f>
        <v>8.5670000000000002</v>
      </c>
      <c r="J107" s="77">
        <f t="shared" ref="J107:J129" si="51">E107*I107</f>
        <v>17.134</v>
      </c>
      <c r="K107" s="280"/>
      <c r="L107" s="281"/>
      <c r="M107" s="281"/>
    </row>
    <row r="108" spans="1:20" s="12" customFormat="1" outlineLevel="1">
      <c r="A108" s="71" t="s">
        <v>906</v>
      </c>
      <c r="B108" s="78" t="s">
        <v>158</v>
      </c>
      <c r="C108" s="94" t="s">
        <v>702</v>
      </c>
      <c r="D108" s="79" t="s">
        <v>679</v>
      </c>
      <c r="E108" s="74">
        <v>2</v>
      </c>
      <c r="F108" s="75">
        <v>83.9</v>
      </c>
      <c r="G108" s="75">
        <v>0</v>
      </c>
      <c r="H108" s="75">
        <f t="shared" si="49"/>
        <v>83.9</v>
      </c>
      <c r="I108" s="76">
        <f t="shared" si="50"/>
        <v>109.07000000000001</v>
      </c>
      <c r="J108" s="77">
        <f t="shared" si="51"/>
        <v>218.14000000000001</v>
      </c>
      <c r="K108" s="280" t="s">
        <v>1168</v>
      </c>
      <c r="L108" s="281"/>
      <c r="M108" s="281"/>
    </row>
    <row r="109" spans="1:20" s="12" customFormat="1" outlineLevel="1">
      <c r="A109" s="71" t="s">
        <v>907</v>
      </c>
      <c r="B109" s="78" t="s">
        <v>158</v>
      </c>
      <c r="C109" s="94" t="s">
        <v>703</v>
      </c>
      <c r="D109" s="79" t="s">
        <v>679</v>
      </c>
      <c r="E109" s="74">
        <v>4</v>
      </c>
      <c r="F109" s="75">
        <v>87.9</v>
      </c>
      <c r="G109" s="75">
        <v>0</v>
      </c>
      <c r="H109" s="75">
        <f t="shared" si="49"/>
        <v>87.9</v>
      </c>
      <c r="I109" s="76">
        <f t="shared" si="50"/>
        <v>114.27000000000001</v>
      </c>
      <c r="J109" s="77">
        <f t="shared" si="51"/>
        <v>457.08000000000004</v>
      </c>
      <c r="K109" s="280"/>
      <c r="L109" s="281"/>
      <c r="M109" s="281"/>
    </row>
    <row r="110" spans="1:20" s="12" customFormat="1" outlineLevel="1">
      <c r="A110" s="71" t="s">
        <v>908</v>
      </c>
      <c r="B110" s="78" t="s">
        <v>158</v>
      </c>
      <c r="C110" s="94" t="s">
        <v>704</v>
      </c>
      <c r="D110" s="79" t="s">
        <v>679</v>
      </c>
      <c r="E110" s="74">
        <v>2</v>
      </c>
      <c r="F110" s="75">
        <v>57.9</v>
      </c>
      <c r="G110" s="75">
        <v>0</v>
      </c>
      <c r="H110" s="75">
        <f t="shared" si="49"/>
        <v>57.9</v>
      </c>
      <c r="I110" s="76">
        <f t="shared" si="50"/>
        <v>75.27</v>
      </c>
      <c r="J110" s="77">
        <f t="shared" si="51"/>
        <v>150.54</v>
      </c>
      <c r="K110" s="280"/>
      <c r="L110" s="281"/>
      <c r="M110" s="281"/>
    </row>
    <row r="111" spans="1:20" s="12" customFormat="1" outlineLevel="1">
      <c r="A111" s="71" t="s">
        <v>909</v>
      </c>
      <c r="B111" s="78" t="s">
        <v>158</v>
      </c>
      <c r="C111" s="94" t="s">
        <v>705</v>
      </c>
      <c r="D111" s="79" t="s">
        <v>679</v>
      </c>
      <c r="E111" s="74">
        <v>11</v>
      </c>
      <c r="F111" s="75">
        <v>22.9</v>
      </c>
      <c r="G111" s="75">
        <v>0</v>
      </c>
      <c r="H111" s="75">
        <f t="shared" si="49"/>
        <v>22.9</v>
      </c>
      <c r="I111" s="76">
        <f t="shared" si="50"/>
        <v>29.77</v>
      </c>
      <c r="J111" s="77">
        <f t="shared" si="51"/>
        <v>327.46999999999997</v>
      </c>
      <c r="K111" s="280" t="s">
        <v>1168</v>
      </c>
      <c r="L111" s="281"/>
      <c r="M111" s="281"/>
    </row>
    <row r="112" spans="1:20" s="12" customFormat="1" outlineLevel="1">
      <c r="A112" s="71" t="s">
        <v>910</v>
      </c>
      <c r="B112" s="78" t="s">
        <v>158</v>
      </c>
      <c r="C112" s="94" t="s">
        <v>706</v>
      </c>
      <c r="D112" s="79" t="s">
        <v>679</v>
      </c>
      <c r="E112" s="74">
        <v>16</v>
      </c>
      <c r="F112" s="75">
        <v>22.9</v>
      </c>
      <c r="G112" s="75">
        <v>0</v>
      </c>
      <c r="H112" s="75">
        <f t="shared" si="49"/>
        <v>22.9</v>
      </c>
      <c r="I112" s="76">
        <f t="shared" si="50"/>
        <v>29.77</v>
      </c>
      <c r="J112" s="77">
        <f t="shared" si="51"/>
        <v>476.32</v>
      </c>
      <c r="K112" s="280"/>
      <c r="L112" s="281"/>
      <c r="M112" s="281"/>
    </row>
    <row r="113" spans="1:13" s="12" customFormat="1" outlineLevel="1">
      <c r="A113" s="71" t="s">
        <v>911</v>
      </c>
      <c r="B113" s="78" t="s">
        <v>158</v>
      </c>
      <c r="C113" s="94" t="s">
        <v>709</v>
      </c>
      <c r="D113" s="79" t="s">
        <v>679</v>
      </c>
      <c r="E113" s="74">
        <v>3</v>
      </c>
      <c r="F113" s="75">
        <v>13.99</v>
      </c>
      <c r="G113" s="75">
        <v>0</v>
      </c>
      <c r="H113" s="75">
        <f t="shared" si="49"/>
        <v>13.99</v>
      </c>
      <c r="I113" s="76">
        <f t="shared" si="50"/>
        <v>18.187000000000001</v>
      </c>
      <c r="J113" s="77">
        <f t="shared" si="51"/>
        <v>54.561000000000007</v>
      </c>
      <c r="K113" s="280"/>
      <c r="L113" s="281"/>
      <c r="M113" s="281"/>
    </row>
    <row r="114" spans="1:13" s="12" customFormat="1" outlineLevel="1">
      <c r="A114" s="71" t="s">
        <v>912</v>
      </c>
      <c r="B114" s="78" t="s">
        <v>158</v>
      </c>
      <c r="C114" s="94" t="s">
        <v>710</v>
      </c>
      <c r="D114" s="79" t="s">
        <v>679</v>
      </c>
      <c r="E114" s="74">
        <v>4</v>
      </c>
      <c r="F114" s="75">
        <v>7.73</v>
      </c>
      <c r="G114" s="75">
        <v>0</v>
      </c>
      <c r="H114" s="75">
        <f t="shared" si="49"/>
        <v>7.73</v>
      </c>
      <c r="I114" s="76">
        <f t="shared" si="50"/>
        <v>10.049000000000001</v>
      </c>
      <c r="J114" s="77">
        <f t="shared" si="51"/>
        <v>40.196000000000005</v>
      </c>
      <c r="K114" s="280" t="s">
        <v>1168</v>
      </c>
      <c r="L114" s="281"/>
      <c r="M114" s="281"/>
    </row>
    <row r="115" spans="1:13" s="12" customFormat="1" outlineLevel="1">
      <c r="A115" s="71" t="s">
        <v>913</v>
      </c>
      <c r="B115" s="78" t="s">
        <v>158</v>
      </c>
      <c r="C115" s="94" t="s">
        <v>711</v>
      </c>
      <c r="D115" s="79" t="s">
        <v>679</v>
      </c>
      <c r="E115" s="74">
        <v>8</v>
      </c>
      <c r="F115" s="75">
        <v>2.99</v>
      </c>
      <c r="G115" s="75">
        <v>0</v>
      </c>
      <c r="H115" s="75">
        <f t="shared" si="49"/>
        <v>2.99</v>
      </c>
      <c r="I115" s="76">
        <f t="shared" si="50"/>
        <v>3.8870000000000005</v>
      </c>
      <c r="J115" s="77">
        <f t="shared" si="51"/>
        <v>31.096000000000004</v>
      </c>
      <c r="K115" s="280"/>
      <c r="L115" s="281"/>
      <c r="M115" s="281"/>
    </row>
    <row r="116" spans="1:13" s="12" customFormat="1" outlineLevel="1">
      <c r="A116" s="71" t="s">
        <v>914</v>
      </c>
      <c r="B116" s="78" t="s">
        <v>158</v>
      </c>
      <c r="C116" s="94" t="s">
        <v>724</v>
      </c>
      <c r="D116" s="79" t="s">
        <v>679</v>
      </c>
      <c r="E116" s="74">
        <v>2</v>
      </c>
      <c r="F116" s="75">
        <v>38.6</v>
      </c>
      <c r="G116" s="75">
        <v>0</v>
      </c>
      <c r="H116" s="75">
        <f t="shared" si="49"/>
        <v>38.6</v>
      </c>
      <c r="I116" s="76">
        <f t="shared" si="50"/>
        <v>50.180000000000007</v>
      </c>
      <c r="J116" s="77">
        <f t="shared" si="51"/>
        <v>100.36000000000001</v>
      </c>
      <c r="K116" s="280"/>
      <c r="L116" s="281"/>
      <c r="M116" s="281"/>
    </row>
    <row r="117" spans="1:13" s="12" customFormat="1" outlineLevel="1">
      <c r="A117" s="71" t="s">
        <v>915</v>
      </c>
      <c r="B117" s="78" t="s">
        <v>158</v>
      </c>
      <c r="C117" s="94" t="s">
        <v>725</v>
      </c>
      <c r="D117" s="79" t="s">
        <v>679</v>
      </c>
      <c r="E117" s="74">
        <v>1</v>
      </c>
      <c r="F117" s="75">
        <v>35.950000000000003</v>
      </c>
      <c r="G117" s="75">
        <v>0</v>
      </c>
      <c r="H117" s="75">
        <f t="shared" si="49"/>
        <v>35.950000000000003</v>
      </c>
      <c r="I117" s="76">
        <f t="shared" si="50"/>
        <v>46.735000000000007</v>
      </c>
      <c r="J117" s="77">
        <f t="shared" si="51"/>
        <v>46.735000000000007</v>
      </c>
      <c r="K117" s="280" t="s">
        <v>1168</v>
      </c>
      <c r="L117" s="281"/>
      <c r="M117" s="281"/>
    </row>
    <row r="118" spans="1:13" s="12" customFormat="1" outlineLevel="1">
      <c r="A118" s="71" t="s">
        <v>916</v>
      </c>
      <c r="B118" s="78" t="s">
        <v>158</v>
      </c>
      <c r="C118" s="94" t="s">
        <v>723</v>
      </c>
      <c r="D118" s="79" t="s">
        <v>679</v>
      </c>
      <c r="E118" s="74">
        <v>4</v>
      </c>
      <c r="F118" s="75">
        <v>19.29</v>
      </c>
      <c r="G118" s="75">
        <v>0</v>
      </c>
      <c r="H118" s="75">
        <f t="shared" si="49"/>
        <v>19.29</v>
      </c>
      <c r="I118" s="76">
        <f t="shared" si="50"/>
        <v>25.076999999999998</v>
      </c>
      <c r="J118" s="77">
        <f t="shared" si="51"/>
        <v>100.30799999999999</v>
      </c>
      <c r="K118" s="280"/>
      <c r="L118" s="281"/>
      <c r="M118" s="281"/>
    </row>
    <row r="119" spans="1:13" s="12" customFormat="1" outlineLevel="1">
      <c r="A119" s="71" t="s">
        <v>917</v>
      </c>
      <c r="B119" s="78" t="s">
        <v>158</v>
      </c>
      <c r="C119" s="94" t="s">
        <v>726</v>
      </c>
      <c r="D119" s="79" t="s">
        <v>679</v>
      </c>
      <c r="E119" s="74">
        <v>1</v>
      </c>
      <c r="F119" s="75">
        <v>5.79</v>
      </c>
      <c r="G119" s="75">
        <v>0</v>
      </c>
      <c r="H119" s="75">
        <f t="shared" si="49"/>
        <v>5.79</v>
      </c>
      <c r="I119" s="76">
        <f t="shared" si="50"/>
        <v>7.5270000000000001</v>
      </c>
      <c r="J119" s="77">
        <f t="shared" si="51"/>
        <v>7.5270000000000001</v>
      </c>
      <c r="K119" s="280"/>
      <c r="L119" s="281"/>
      <c r="M119" s="281"/>
    </row>
    <row r="120" spans="1:13" s="12" customFormat="1" outlineLevel="1">
      <c r="A120" s="71" t="s">
        <v>918</v>
      </c>
      <c r="B120" s="78" t="s">
        <v>158</v>
      </c>
      <c r="C120" s="94" t="s">
        <v>727</v>
      </c>
      <c r="D120" s="79" t="s">
        <v>679</v>
      </c>
      <c r="E120" s="74">
        <v>2</v>
      </c>
      <c r="F120" s="75">
        <v>38.729999999999997</v>
      </c>
      <c r="G120" s="75">
        <v>0</v>
      </c>
      <c r="H120" s="75">
        <f t="shared" si="49"/>
        <v>38.729999999999997</v>
      </c>
      <c r="I120" s="76">
        <f t="shared" si="50"/>
        <v>50.348999999999997</v>
      </c>
      <c r="J120" s="77">
        <f t="shared" si="51"/>
        <v>100.69799999999999</v>
      </c>
      <c r="K120" s="280" t="s">
        <v>1168</v>
      </c>
      <c r="L120" s="281"/>
      <c r="M120" s="281"/>
    </row>
    <row r="121" spans="1:13" s="12" customFormat="1" outlineLevel="1">
      <c r="A121" s="71" t="s">
        <v>919</v>
      </c>
      <c r="B121" s="78" t="s">
        <v>158</v>
      </c>
      <c r="C121" s="94" t="s">
        <v>728</v>
      </c>
      <c r="D121" s="79" t="s">
        <v>679</v>
      </c>
      <c r="E121" s="74">
        <v>2</v>
      </c>
      <c r="F121" s="75">
        <v>26.71</v>
      </c>
      <c r="G121" s="75">
        <v>0</v>
      </c>
      <c r="H121" s="75">
        <f t="shared" si="49"/>
        <v>26.71</v>
      </c>
      <c r="I121" s="76">
        <f t="shared" si="50"/>
        <v>34.722999999999999</v>
      </c>
      <c r="J121" s="77">
        <f t="shared" si="51"/>
        <v>69.445999999999998</v>
      </c>
      <c r="K121" s="280"/>
      <c r="L121" s="281"/>
      <c r="M121" s="281"/>
    </row>
    <row r="122" spans="1:13" s="12" customFormat="1" outlineLevel="1">
      <c r="A122" s="71" t="s">
        <v>920</v>
      </c>
      <c r="B122" s="78" t="s">
        <v>158</v>
      </c>
      <c r="C122" s="94" t="s">
        <v>717</v>
      </c>
      <c r="D122" s="79" t="s">
        <v>679</v>
      </c>
      <c r="E122" s="74">
        <v>3</v>
      </c>
      <c r="F122" s="75">
        <v>3.36</v>
      </c>
      <c r="G122" s="75">
        <v>0</v>
      </c>
      <c r="H122" s="75">
        <f t="shared" si="49"/>
        <v>3.36</v>
      </c>
      <c r="I122" s="76">
        <f t="shared" si="50"/>
        <v>4.3680000000000003</v>
      </c>
      <c r="J122" s="77">
        <f t="shared" si="51"/>
        <v>13.104000000000001</v>
      </c>
      <c r="K122" s="280"/>
      <c r="L122" s="281"/>
      <c r="M122" s="281"/>
    </row>
    <row r="123" spans="1:13" s="12" customFormat="1" outlineLevel="1">
      <c r="A123" s="71" t="s">
        <v>921</v>
      </c>
      <c r="B123" s="78" t="s">
        <v>158</v>
      </c>
      <c r="C123" s="94" t="s">
        <v>721</v>
      </c>
      <c r="D123" s="79" t="s">
        <v>679</v>
      </c>
      <c r="E123" s="74">
        <v>1</v>
      </c>
      <c r="F123" s="75">
        <v>16.899999999999999</v>
      </c>
      <c r="G123" s="75">
        <v>0</v>
      </c>
      <c r="H123" s="75">
        <f t="shared" si="49"/>
        <v>16.899999999999999</v>
      </c>
      <c r="I123" s="76">
        <f t="shared" si="50"/>
        <v>21.97</v>
      </c>
      <c r="J123" s="77">
        <f t="shared" si="51"/>
        <v>21.97</v>
      </c>
      <c r="K123" s="280" t="s">
        <v>1168</v>
      </c>
      <c r="L123" s="281"/>
      <c r="M123" s="281"/>
    </row>
    <row r="124" spans="1:13" s="12" customFormat="1" outlineLevel="1">
      <c r="A124" s="71" t="s">
        <v>922</v>
      </c>
      <c r="B124" s="78" t="s">
        <v>158</v>
      </c>
      <c r="C124" s="94" t="s">
        <v>722</v>
      </c>
      <c r="D124" s="79" t="s">
        <v>679</v>
      </c>
      <c r="E124" s="74">
        <v>2</v>
      </c>
      <c r="F124" s="75">
        <v>10.99</v>
      </c>
      <c r="G124" s="75">
        <v>0</v>
      </c>
      <c r="H124" s="75">
        <f t="shared" si="49"/>
        <v>10.99</v>
      </c>
      <c r="I124" s="76">
        <f t="shared" si="50"/>
        <v>14.287000000000001</v>
      </c>
      <c r="J124" s="77">
        <f t="shared" si="51"/>
        <v>28.574000000000002</v>
      </c>
      <c r="K124" s="280"/>
      <c r="L124" s="281"/>
      <c r="M124" s="281"/>
    </row>
    <row r="125" spans="1:13" s="12" customFormat="1" outlineLevel="1">
      <c r="A125" s="71" t="s">
        <v>923</v>
      </c>
      <c r="B125" s="78" t="s">
        <v>158</v>
      </c>
      <c r="C125" s="94" t="s">
        <v>715</v>
      </c>
      <c r="D125" s="79" t="s">
        <v>5</v>
      </c>
      <c r="E125" s="74">
        <v>25</v>
      </c>
      <c r="F125" s="75">
        <f>72.9/3</f>
        <v>24.3</v>
      </c>
      <c r="G125" s="75">
        <v>0</v>
      </c>
      <c r="H125" s="75">
        <f t="shared" si="49"/>
        <v>24.3</v>
      </c>
      <c r="I125" s="76">
        <f t="shared" si="50"/>
        <v>31.590000000000003</v>
      </c>
      <c r="J125" s="77">
        <f t="shared" si="51"/>
        <v>789.75000000000011</v>
      </c>
      <c r="K125" s="280"/>
      <c r="L125" s="281"/>
      <c r="M125" s="281"/>
    </row>
    <row r="126" spans="1:13" s="12" customFormat="1" outlineLevel="1">
      <c r="A126" s="71" t="s">
        <v>924</v>
      </c>
      <c r="B126" s="78" t="s">
        <v>158</v>
      </c>
      <c r="C126" s="94" t="s">
        <v>716</v>
      </c>
      <c r="D126" s="79" t="s">
        <v>5</v>
      </c>
      <c r="E126" s="74">
        <f>1+6+7.5+3.2</f>
        <v>17.7</v>
      </c>
      <c r="F126" s="75">
        <f>52.9/3</f>
        <v>17.633333333333333</v>
      </c>
      <c r="G126" s="75">
        <v>0</v>
      </c>
      <c r="H126" s="75">
        <f t="shared" si="49"/>
        <v>17.633333333333333</v>
      </c>
      <c r="I126" s="76">
        <f t="shared" si="50"/>
        <v>22.923333333333332</v>
      </c>
      <c r="J126" s="77">
        <f t="shared" si="51"/>
        <v>405.74299999999994</v>
      </c>
      <c r="K126" s="280" t="s">
        <v>1168</v>
      </c>
      <c r="L126" s="281"/>
      <c r="M126" s="281"/>
    </row>
    <row r="127" spans="1:13" s="12" customFormat="1" outlineLevel="1">
      <c r="A127" s="71" t="s">
        <v>925</v>
      </c>
      <c r="B127" s="78" t="s">
        <v>158</v>
      </c>
      <c r="C127" s="94" t="s">
        <v>729</v>
      </c>
      <c r="D127" s="79" t="s">
        <v>5</v>
      </c>
      <c r="E127" s="74">
        <f>10+27</f>
        <v>37</v>
      </c>
      <c r="F127" s="75">
        <f>48.29/6</f>
        <v>8.0483333333333338</v>
      </c>
      <c r="G127" s="75">
        <v>0</v>
      </c>
      <c r="H127" s="75">
        <f t="shared" si="49"/>
        <v>8.0483333333333338</v>
      </c>
      <c r="I127" s="76">
        <f t="shared" si="50"/>
        <v>10.462833333333334</v>
      </c>
      <c r="J127" s="77">
        <f t="shared" si="51"/>
        <v>387.12483333333336</v>
      </c>
      <c r="K127" s="280"/>
      <c r="L127" s="281"/>
      <c r="M127" s="281"/>
    </row>
    <row r="128" spans="1:13" s="12" customFormat="1" outlineLevel="1">
      <c r="A128" s="71" t="s">
        <v>926</v>
      </c>
      <c r="B128" s="78" t="s">
        <v>158</v>
      </c>
      <c r="C128" s="94" t="s">
        <v>719</v>
      </c>
      <c r="D128" s="79" t="s">
        <v>679</v>
      </c>
      <c r="E128" s="74">
        <v>1</v>
      </c>
      <c r="F128" s="75">
        <v>26.9</v>
      </c>
      <c r="G128" s="75">
        <v>0</v>
      </c>
      <c r="H128" s="75">
        <f t="shared" si="49"/>
        <v>26.9</v>
      </c>
      <c r="I128" s="76">
        <f t="shared" si="50"/>
        <v>34.97</v>
      </c>
      <c r="J128" s="77">
        <f t="shared" si="51"/>
        <v>34.97</v>
      </c>
      <c r="K128" s="280"/>
      <c r="L128" s="281"/>
      <c r="M128" s="281"/>
    </row>
    <row r="129" spans="1:13" s="12" customFormat="1" outlineLevel="1">
      <c r="A129" s="71" t="s">
        <v>927</v>
      </c>
      <c r="B129" s="78" t="s">
        <v>158</v>
      </c>
      <c r="C129" s="94" t="s">
        <v>720</v>
      </c>
      <c r="D129" s="79" t="s">
        <v>679</v>
      </c>
      <c r="E129" s="74">
        <v>1</v>
      </c>
      <c r="F129" s="75">
        <v>12.49</v>
      </c>
      <c r="G129" s="75">
        <v>0</v>
      </c>
      <c r="H129" s="75">
        <f t="shared" si="49"/>
        <v>12.49</v>
      </c>
      <c r="I129" s="76">
        <f t="shared" si="50"/>
        <v>16.237000000000002</v>
      </c>
      <c r="J129" s="77">
        <f t="shared" si="51"/>
        <v>16.237000000000002</v>
      </c>
      <c r="K129" s="280" t="s">
        <v>1168</v>
      </c>
      <c r="L129" s="281"/>
      <c r="M129" s="281"/>
    </row>
    <row r="130" spans="1:13" s="12" customFormat="1" outlineLevel="1">
      <c r="A130" s="63" t="s">
        <v>930</v>
      </c>
      <c r="B130" s="63"/>
      <c r="C130" s="96" t="s">
        <v>928</v>
      </c>
      <c r="D130" s="65"/>
      <c r="E130" s="66"/>
      <c r="F130" s="67"/>
      <c r="G130" s="67"/>
      <c r="H130" s="68"/>
      <c r="I130" s="68"/>
      <c r="J130" s="69"/>
      <c r="K130" s="280"/>
      <c r="L130" s="281"/>
      <c r="M130" s="281"/>
    </row>
    <row r="131" spans="1:13" s="12" customFormat="1" outlineLevel="1">
      <c r="A131" s="108" t="s">
        <v>931</v>
      </c>
      <c r="B131" s="108"/>
      <c r="C131" s="109" t="s">
        <v>680</v>
      </c>
      <c r="D131" s="110"/>
      <c r="E131" s="111"/>
      <c r="F131" s="112"/>
      <c r="G131" s="112"/>
      <c r="H131" s="113"/>
      <c r="I131" s="113"/>
      <c r="J131" s="114"/>
      <c r="K131" s="280"/>
      <c r="L131" s="281"/>
      <c r="M131" s="281"/>
    </row>
    <row r="132" spans="1:13" s="12" customFormat="1" outlineLevel="1">
      <c r="A132" s="71" t="s">
        <v>932</v>
      </c>
      <c r="B132" s="78" t="s">
        <v>158</v>
      </c>
      <c r="C132" s="94" t="s">
        <v>712</v>
      </c>
      <c r="D132" s="79" t="s">
        <v>679</v>
      </c>
      <c r="E132" s="74">
        <v>1</v>
      </c>
      <c r="F132" s="75">
        <v>6.91</v>
      </c>
      <c r="G132" s="75">
        <v>0</v>
      </c>
      <c r="H132" s="75">
        <f t="shared" ref="H132:H137" si="52">F132+G132</f>
        <v>6.91</v>
      </c>
      <c r="I132" s="76">
        <f t="shared" ref="I132:I137" si="53">H132*(1+$J$4)</f>
        <v>8.9830000000000005</v>
      </c>
      <c r="J132" s="77">
        <f t="shared" ref="J132:J137" si="54">E132*I132</f>
        <v>8.9830000000000005</v>
      </c>
      <c r="K132" s="280" t="s">
        <v>1168</v>
      </c>
      <c r="L132" s="281"/>
      <c r="M132" s="281"/>
    </row>
    <row r="133" spans="1:13" s="12" customFormat="1" outlineLevel="1">
      <c r="A133" s="71" t="s">
        <v>933</v>
      </c>
      <c r="B133" s="78" t="s">
        <v>158</v>
      </c>
      <c r="C133" s="94" t="s">
        <v>707</v>
      </c>
      <c r="D133" s="79" t="s">
        <v>679</v>
      </c>
      <c r="E133" s="74">
        <v>10</v>
      </c>
      <c r="F133" s="75">
        <v>8.1199999999999992</v>
      </c>
      <c r="G133" s="75">
        <v>0</v>
      </c>
      <c r="H133" s="75">
        <f t="shared" si="52"/>
        <v>8.1199999999999992</v>
      </c>
      <c r="I133" s="76">
        <f t="shared" si="53"/>
        <v>10.555999999999999</v>
      </c>
      <c r="J133" s="77">
        <f t="shared" si="54"/>
        <v>105.55999999999999</v>
      </c>
      <c r="K133" s="280"/>
      <c r="L133" s="281"/>
      <c r="M133" s="281"/>
    </row>
    <row r="134" spans="1:13" s="12" customFormat="1" outlineLevel="1">
      <c r="A134" s="71" t="s">
        <v>934</v>
      </c>
      <c r="B134" s="78" t="s">
        <v>158</v>
      </c>
      <c r="C134" s="94" t="s">
        <v>708</v>
      </c>
      <c r="D134" s="79" t="s">
        <v>679</v>
      </c>
      <c r="E134" s="74">
        <v>6</v>
      </c>
      <c r="F134" s="75">
        <v>3.99</v>
      </c>
      <c r="G134" s="75">
        <v>0</v>
      </c>
      <c r="H134" s="75">
        <f t="shared" si="52"/>
        <v>3.99</v>
      </c>
      <c r="I134" s="76">
        <f t="shared" si="53"/>
        <v>5.1870000000000003</v>
      </c>
      <c r="J134" s="77">
        <f t="shared" si="54"/>
        <v>31.122</v>
      </c>
      <c r="K134" s="280"/>
      <c r="L134" s="281"/>
      <c r="M134" s="281"/>
    </row>
    <row r="135" spans="1:13" s="12" customFormat="1" outlineLevel="1">
      <c r="A135" s="71" t="s">
        <v>935</v>
      </c>
      <c r="B135" s="78" t="s">
        <v>158</v>
      </c>
      <c r="C135" s="94" t="s">
        <v>713</v>
      </c>
      <c r="D135" s="79" t="s">
        <v>679</v>
      </c>
      <c r="E135" s="74">
        <v>3</v>
      </c>
      <c r="F135" s="75">
        <v>8.99</v>
      </c>
      <c r="G135" s="75">
        <v>0</v>
      </c>
      <c r="H135" s="75">
        <f t="shared" si="52"/>
        <v>8.99</v>
      </c>
      <c r="I135" s="76">
        <f t="shared" si="53"/>
        <v>11.687000000000001</v>
      </c>
      <c r="J135" s="77">
        <f t="shared" si="54"/>
        <v>35.061000000000007</v>
      </c>
      <c r="K135" s="280" t="s">
        <v>1168</v>
      </c>
      <c r="L135" s="281"/>
      <c r="M135" s="281"/>
    </row>
    <row r="136" spans="1:13" s="12" customFormat="1" outlineLevel="1">
      <c r="A136" s="71" t="s">
        <v>936</v>
      </c>
      <c r="B136" s="78" t="s">
        <v>158</v>
      </c>
      <c r="C136" s="94" t="s">
        <v>714</v>
      </c>
      <c r="D136" s="79" t="s">
        <v>679</v>
      </c>
      <c r="E136" s="74">
        <v>3</v>
      </c>
      <c r="F136" s="75">
        <v>8.09</v>
      </c>
      <c r="G136" s="75">
        <v>0</v>
      </c>
      <c r="H136" s="75">
        <f t="shared" si="52"/>
        <v>8.09</v>
      </c>
      <c r="I136" s="76">
        <f t="shared" si="53"/>
        <v>10.516999999999999</v>
      </c>
      <c r="J136" s="77">
        <f t="shared" si="54"/>
        <v>31.550999999999998</v>
      </c>
      <c r="K136" s="280"/>
      <c r="L136" s="281"/>
      <c r="M136" s="281"/>
    </row>
    <row r="137" spans="1:13" s="12" customFormat="1" outlineLevel="1">
      <c r="A137" s="71" t="s">
        <v>937</v>
      </c>
      <c r="B137" s="78" t="s">
        <v>158</v>
      </c>
      <c r="C137" s="94" t="s">
        <v>701</v>
      </c>
      <c r="D137" s="79" t="s">
        <v>5</v>
      </c>
      <c r="E137" s="74">
        <f>15+10.5</f>
        <v>25.5</v>
      </c>
      <c r="F137" s="75">
        <f>64.9/3</f>
        <v>21.633333333333336</v>
      </c>
      <c r="G137" s="75">
        <v>0</v>
      </c>
      <c r="H137" s="75">
        <f t="shared" si="52"/>
        <v>21.633333333333336</v>
      </c>
      <c r="I137" s="76">
        <f t="shared" si="53"/>
        <v>28.123333333333338</v>
      </c>
      <c r="J137" s="77">
        <f t="shared" si="54"/>
        <v>717.1450000000001</v>
      </c>
      <c r="K137" s="280"/>
      <c r="L137" s="281"/>
      <c r="M137" s="281"/>
    </row>
    <row r="138" spans="1:13" s="12" customFormat="1" outlineLevel="1">
      <c r="A138" s="63" t="s">
        <v>938</v>
      </c>
      <c r="B138" s="63"/>
      <c r="C138" s="96" t="s">
        <v>929</v>
      </c>
      <c r="D138" s="65"/>
      <c r="E138" s="66"/>
      <c r="F138" s="67"/>
      <c r="G138" s="67"/>
      <c r="H138" s="68"/>
      <c r="I138" s="68"/>
      <c r="J138" s="69"/>
      <c r="K138" s="280" t="s">
        <v>1168</v>
      </c>
      <c r="L138" s="281"/>
      <c r="M138" s="281"/>
    </row>
    <row r="139" spans="1:13" s="12" customFormat="1" outlineLevel="1">
      <c r="A139" s="108" t="s">
        <v>939</v>
      </c>
      <c r="B139" s="108"/>
      <c r="C139" s="109" t="s">
        <v>680</v>
      </c>
      <c r="D139" s="110"/>
      <c r="E139" s="111"/>
      <c r="F139" s="112"/>
      <c r="G139" s="112"/>
      <c r="H139" s="113"/>
      <c r="I139" s="113"/>
      <c r="J139" s="114"/>
      <c r="K139" s="280"/>
      <c r="L139" s="281"/>
      <c r="M139" s="281"/>
    </row>
    <row r="140" spans="1:13" s="12" customFormat="1" outlineLevel="1">
      <c r="A140" s="71" t="s">
        <v>940</v>
      </c>
      <c r="B140" s="78" t="s">
        <v>158</v>
      </c>
      <c r="C140" s="94" t="s">
        <v>686</v>
      </c>
      <c r="D140" s="79" t="s">
        <v>5</v>
      </c>
      <c r="E140" s="74">
        <v>4</v>
      </c>
      <c r="F140" s="75">
        <f>94.9/3</f>
        <v>31.633333333333336</v>
      </c>
      <c r="G140" s="75">
        <v>0</v>
      </c>
      <c r="H140" s="75">
        <f t="shared" ref="H140:H148" si="55">F140+G140</f>
        <v>31.633333333333336</v>
      </c>
      <c r="I140" s="76">
        <f t="shared" ref="I140:I148" si="56">H140*(1+$J$4)</f>
        <v>41.123333333333342</v>
      </c>
      <c r="J140" s="77">
        <f t="shared" ref="J140:J148" si="57">E140*I140</f>
        <v>164.49333333333337</v>
      </c>
      <c r="K140" s="280"/>
      <c r="L140" s="281"/>
      <c r="M140" s="281"/>
    </row>
    <row r="141" spans="1:13" s="12" customFormat="1" ht="15" customHeight="1" outlineLevel="1">
      <c r="A141" s="71" t="s">
        <v>941</v>
      </c>
      <c r="B141" s="78" t="s">
        <v>158</v>
      </c>
      <c r="C141" s="94" t="s">
        <v>687</v>
      </c>
      <c r="D141" s="79" t="s">
        <v>5</v>
      </c>
      <c r="E141" s="74">
        <v>60</v>
      </c>
      <c r="F141" s="75">
        <f>26.9/3</f>
        <v>8.9666666666666668</v>
      </c>
      <c r="G141" s="75">
        <v>0</v>
      </c>
      <c r="H141" s="75">
        <f t="shared" si="55"/>
        <v>8.9666666666666668</v>
      </c>
      <c r="I141" s="76">
        <f t="shared" si="56"/>
        <v>11.656666666666668</v>
      </c>
      <c r="J141" s="77">
        <f t="shared" si="57"/>
        <v>699.40000000000009</v>
      </c>
      <c r="K141" s="280" t="s">
        <v>1168</v>
      </c>
      <c r="L141" s="281"/>
      <c r="M141" s="281"/>
    </row>
    <row r="142" spans="1:13" s="12" customFormat="1" outlineLevel="1">
      <c r="A142" s="71" t="s">
        <v>942</v>
      </c>
      <c r="B142" s="78" t="s">
        <v>158</v>
      </c>
      <c r="C142" s="94" t="s">
        <v>688</v>
      </c>
      <c r="D142" s="79" t="s">
        <v>679</v>
      </c>
      <c r="E142" s="74">
        <v>5</v>
      </c>
      <c r="F142" s="75">
        <v>1.83</v>
      </c>
      <c r="G142" s="75">
        <v>0</v>
      </c>
      <c r="H142" s="75">
        <f t="shared" si="55"/>
        <v>1.83</v>
      </c>
      <c r="I142" s="76">
        <f t="shared" si="56"/>
        <v>2.379</v>
      </c>
      <c r="J142" s="77">
        <f t="shared" si="57"/>
        <v>11.895</v>
      </c>
      <c r="K142" s="280"/>
      <c r="L142" s="281"/>
      <c r="M142" s="281"/>
    </row>
    <row r="143" spans="1:13" s="12" customFormat="1" outlineLevel="1">
      <c r="A143" s="71" t="s">
        <v>943</v>
      </c>
      <c r="B143" s="78" t="s">
        <v>158</v>
      </c>
      <c r="C143" s="94" t="s">
        <v>689</v>
      </c>
      <c r="D143" s="79" t="s">
        <v>679</v>
      </c>
      <c r="E143" s="74">
        <v>61</v>
      </c>
      <c r="F143" s="75">
        <v>1.47</v>
      </c>
      <c r="G143" s="75">
        <v>0</v>
      </c>
      <c r="H143" s="75">
        <f t="shared" si="55"/>
        <v>1.47</v>
      </c>
      <c r="I143" s="76">
        <f t="shared" si="56"/>
        <v>1.911</v>
      </c>
      <c r="J143" s="77">
        <f t="shared" si="57"/>
        <v>116.571</v>
      </c>
      <c r="K143" s="280"/>
      <c r="L143" s="281"/>
      <c r="M143" s="281"/>
    </row>
    <row r="144" spans="1:13" s="12" customFormat="1" ht="15" customHeight="1" outlineLevel="1">
      <c r="A144" s="71" t="s">
        <v>944</v>
      </c>
      <c r="B144" s="78" t="s">
        <v>158</v>
      </c>
      <c r="C144" s="94" t="s">
        <v>690</v>
      </c>
      <c r="D144" s="79" t="s">
        <v>679</v>
      </c>
      <c r="E144" s="74">
        <v>8</v>
      </c>
      <c r="F144" s="75">
        <v>6.39</v>
      </c>
      <c r="G144" s="75">
        <v>0</v>
      </c>
      <c r="H144" s="75">
        <f t="shared" si="55"/>
        <v>6.39</v>
      </c>
      <c r="I144" s="76">
        <f t="shared" si="56"/>
        <v>8.3070000000000004</v>
      </c>
      <c r="J144" s="77">
        <f t="shared" si="57"/>
        <v>66.456000000000003</v>
      </c>
      <c r="K144" s="280" t="s">
        <v>1168</v>
      </c>
      <c r="L144" s="281"/>
      <c r="M144" s="281"/>
    </row>
    <row r="145" spans="1:13" s="12" customFormat="1" outlineLevel="1">
      <c r="A145" s="71" t="s">
        <v>945</v>
      </c>
      <c r="B145" s="78" t="s">
        <v>158</v>
      </c>
      <c r="C145" s="94" t="s">
        <v>691</v>
      </c>
      <c r="D145" s="79" t="s">
        <v>679</v>
      </c>
      <c r="E145" s="74">
        <v>12</v>
      </c>
      <c r="F145" s="75">
        <v>9.7899999999999991</v>
      </c>
      <c r="G145" s="75">
        <v>0</v>
      </c>
      <c r="H145" s="75">
        <f t="shared" si="55"/>
        <v>9.7899999999999991</v>
      </c>
      <c r="I145" s="76">
        <f t="shared" si="56"/>
        <v>12.726999999999999</v>
      </c>
      <c r="J145" s="77">
        <f t="shared" si="57"/>
        <v>152.72399999999999</v>
      </c>
      <c r="K145" s="280"/>
      <c r="L145" s="281"/>
      <c r="M145" s="281"/>
    </row>
    <row r="146" spans="1:13" s="12" customFormat="1" outlineLevel="1">
      <c r="A146" s="71" t="s">
        <v>946</v>
      </c>
      <c r="B146" s="78" t="s">
        <v>158</v>
      </c>
      <c r="C146" s="94" t="s">
        <v>692</v>
      </c>
      <c r="D146" s="79" t="s">
        <v>679</v>
      </c>
      <c r="E146" s="74">
        <v>22</v>
      </c>
      <c r="F146" s="75">
        <v>4.6900000000000004</v>
      </c>
      <c r="G146" s="75">
        <v>0</v>
      </c>
      <c r="H146" s="75">
        <f t="shared" si="55"/>
        <v>4.6900000000000004</v>
      </c>
      <c r="I146" s="76">
        <f t="shared" si="56"/>
        <v>6.0970000000000004</v>
      </c>
      <c r="J146" s="77">
        <f t="shared" si="57"/>
        <v>134.13400000000001</v>
      </c>
      <c r="K146" s="280"/>
      <c r="L146" s="281"/>
      <c r="M146" s="281"/>
    </row>
    <row r="147" spans="1:13" s="12" customFormat="1" ht="15" customHeight="1" outlineLevel="1">
      <c r="A147" s="71" t="s">
        <v>947</v>
      </c>
      <c r="B147" s="78" t="s">
        <v>158</v>
      </c>
      <c r="C147" s="94" t="s">
        <v>693</v>
      </c>
      <c r="D147" s="79" t="s">
        <v>679</v>
      </c>
      <c r="E147" s="74">
        <v>36</v>
      </c>
      <c r="F147" s="75">
        <v>1.32</v>
      </c>
      <c r="G147" s="75">
        <v>0</v>
      </c>
      <c r="H147" s="75">
        <f t="shared" si="55"/>
        <v>1.32</v>
      </c>
      <c r="I147" s="76">
        <f t="shared" si="56"/>
        <v>1.7160000000000002</v>
      </c>
      <c r="J147" s="77">
        <f t="shared" si="57"/>
        <v>61.77600000000001</v>
      </c>
      <c r="K147" s="280" t="s">
        <v>1168</v>
      </c>
      <c r="L147" s="281"/>
      <c r="M147" s="281"/>
    </row>
    <row r="148" spans="1:13" s="12" customFormat="1" outlineLevel="1">
      <c r="A148" s="71" t="s">
        <v>948</v>
      </c>
      <c r="B148" s="78" t="s">
        <v>158</v>
      </c>
      <c r="C148" s="94" t="s">
        <v>694</v>
      </c>
      <c r="D148" s="79" t="s">
        <v>679</v>
      </c>
      <c r="E148" s="74">
        <v>5</v>
      </c>
      <c r="F148" s="75">
        <v>27.91</v>
      </c>
      <c r="G148" s="75">
        <v>0</v>
      </c>
      <c r="H148" s="75">
        <f t="shared" si="55"/>
        <v>27.91</v>
      </c>
      <c r="I148" s="76">
        <f t="shared" si="56"/>
        <v>36.283000000000001</v>
      </c>
      <c r="J148" s="77">
        <f t="shared" si="57"/>
        <v>181.41500000000002</v>
      </c>
      <c r="K148" s="280"/>
      <c r="L148" s="281"/>
      <c r="M148" s="281"/>
    </row>
    <row r="149" spans="1:13" s="12" customFormat="1" outlineLevel="1">
      <c r="A149" s="63" t="s">
        <v>949</v>
      </c>
      <c r="B149" s="63"/>
      <c r="C149" s="96" t="s">
        <v>950</v>
      </c>
      <c r="D149" s="65"/>
      <c r="E149" s="66"/>
      <c r="F149" s="67"/>
      <c r="G149" s="67"/>
      <c r="H149" s="68"/>
      <c r="I149" s="68"/>
      <c r="J149" s="69"/>
      <c r="K149" s="280"/>
      <c r="L149" s="281"/>
      <c r="M149" s="281"/>
    </row>
    <row r="150" spans="1:13" s="5" customFormat="1" ht="22.5" customHeight="1" outlineLevel="1">
      <c r="A150" s="71" t="s">
        <v>951</v>
      </c>
      <c r="B150" s="71"/>
      <c r="C150" s="94" t="s">
        <v>1151</v>
      </c>
      <c r="D150" s="115" t="s">
        <v>7</v>
      </c>
      <c r="E150" s="74">
        <v>1</v>
      </c>
      <c r="F150" s="76">
        <v>0</v>
      </c>
      <c r="G150" s="82">
        <v>7698.75</v>
      </c>
      <c r="H150" s="75">
        <f t="shared" ref="H150" si="58">F150+G150</f>
        <v>7698.75</v>
      </c>
      <c r="I150" s="76">
        <f t="shared" ref="I150" si="59">H150*(1+$J$4)</f>
        <v>10008.375</v>
      </c>
      <c r="J150" s="77">
        <f>E150*I150</f>
        <v>10008.375</v>
      </c>
      <c r="K150" s="280" t="s">
        <v>1168</v>
      </c>
      <c r="L150" s="281"/>
      <c r="M150" s="281"/>
    </row>
    <row r="151" spans="1:13" s="12" customFormat="1">
      <c r="A151" s="58" t="s">
        <v>30</v>
      </c>
      <c r="B151" s="58"/>
      <c r="C151" s="91" t="s">
        <v>16</v>
      </c>
      <c r="D151" s="59"/>
      <c r="E151" s="59"/>
      <c r="F151" s="60"/>
      <c r="G151" s="60"/>
      <c r="H151" s="61"/>
      <c r="I151" s="61"/>
      <c r="J151" s="62">
        <f ca="1">SUM(OFFSET(J151,1,,,):OFFSET(J168,-1,,,))</f>
        <v>61929.881000000001</v>
      </c>
      <c r="K151" s="280"/>
      <c r="L151" s="281"/>
      <c r="M151" s="281"/>
    </row>
    <row r="152" spans="1:13" s="12" customFormat="1" outlineLevel="1">
      <c r="A152" s="63" t="s">
        <v>39</v>
      </c>
      <c r="B152" s="63"/>
      <c r="C152" s="96" t="s">
        <v>48</v>
      </c>
      <c r="D152" s="65"/>
      <c r="E152" s="66"/>
      <c r="F152" s="67"/>
      <c r="G152" s="67"/>
      <c r="H152" s="68"/>
      <c r="I152" s="68"/>
      <c r="J152" s="69"/>
      <c r="K152" s="280"/>
      <c r="L152" s="281"/>
      <c r="M152" s="281"/>
    </row>
    <row r="153" spans="1:13" s="5" customFormat="1" ht="33.75" customHeight="1" outlineLevel="1">
      <c r="A153" s="71" t="s">
        <v>72</v>
      </c>
      <c r="B153" s="78">
        <v>170133</v>
      </c>
      <c r="C153" s="116" t="s">
        <v>311</v>
      </c>
      <c r="D153" s="79" t="s">
        <v>8</v>
      </c>
      <c r="E153" s="74">
        <v>1</v>
      </c>
      <c r="F153" s="75">
        <v>8999</v>
      </c>
      <c r="G153" s="75">
        <v>121.65</v>
      </c>
      <c r="H153" s="75">
        <f t="shared" ref="H153:H156" si="60">F153+G153</f>
        <v>9120.65</v>
      </c>
      <c r="I153" s="76">
        <f t="shared" ref="I153" si="61">H153*(1+$J$4)</f>
        <v>11856.844999999999</v>
      </c>
      <c r="J153" s="77">
        <f>E153*I153</f>
        <v>11856.844999999999</v>
      </c>
      <c r="K153" s="280" t="s">
        <v>1168</v>
      </c>
      <c r="L153" s="281"/>
      <c r="M153" s="281"/>
    </row>
    <row r="154" spans="1:13" s="5" customFormat="1" ht="33.75" outlineLevel="1">
      <c r="A154" s="71" t="s">
        <v>73</v>
      </c>
      <c r="B154" s="78">
        <v>170135</v>
      </c>
      <c r="C154" s="116" t="s">
        <v>312</v>
      </c>
      <c r="D154" s="79" t="s">
        <v>8</v>
      </c>
      <c r="E154" s="74">
        <v>2</v>
      </c>
      <c r="F154" s="75">
        <v>885.59</v>
      </c>
      <c r="G154" s="75">
        <v>91.240000000000009</v>
      </c>
      <c r="H154" s="75">
        <f t="shared" si="60"/>
        <v>976.83</v>
      </c>
      <c r="I154" s="76">
        <f t="shared" ref="I154" si="62">H154*(1+$J$4)</f>
        <v>1269.8790000000001</v>
      </c>
      <c r="J154" s="77">
        <f>E154*I154</f>
        <v>2539.7580000000003</v>
      </c>
      <c r="K154" s="280"/>
      <c r="L154" s="281"/>
      <c r="M154" s="281"/>
    </row>
    <row r="155" spans="1:13" s="5" customFormat="1" ht="33.75" outlineLevel="1">
      <c r="A155" s="71" t="s">
        <v>74</v>
      </c>
      <c r="B155" s="78">
        <v>170134</v>
      </c>
      <c r="C155" s="116" t="s">
        <v>314</v>
      </c>
      <c r="D155" s="79" t="s">
        <v>8</v>
      </c>
      <c r="E155" s="74">
        <v>5</v>
      </c>
      <c r="F155" s="75">
        <v>2369.98</v>
      </c>
      <c r="G155" s="75">
        <v>121.65</v>
      </c>
      <c r="H155" s="75">
        <f t="shared" si="60"/>
        <v>2491.63</v>
      </c>
      <c r="I155" s="76">
        <f t="shared" ref="I155:I156" si="63">H155*(1+$J$4)</f>
        <v>3239.1190000000001</v>
      </c>
      <c r="J155" s="77">
        <f>E155*I155</f>
        <v>16195.595000000001</v>
      </c>
      <c r="K155" s="280"/>
      <c r="L155" s="281"/>
      <c r="M155" s="281"/>
    </row>
    <row r="156" spans="1:13" s="5" customFormat="1" ht="33.75" customHeight="1" outlineLevel="1">
      <c r="A156" s="71" t="s">
        <v>313</v>
      </c>
      <c r="B156" s="78">
        <v>170136</v>
      </c>
      <c r="C156" s="116" t="s">
        <v>315</v>
      </c>
      <c r="D156" s="79" t="s">
        <v>8</v>
      </c>
      <c r="E156" s="74">
        <v>4</v>
      </c>
      <c r="F156" s="75">
        <v>1226.0700000000002</v>
      </c>
      <c r="G156" s="75">
        <v>60.83</v>
      </c>
      <c r="H156" s="75">
        <f t="shared" si="60"/>
        <v>1286.9000000000001</v>
      </c>
      <c r="I156" s="76">
        <f t="shared" si="63"/>
        <v>1672.9700000000003</v>
      </c>
      <c r="J156" s="77">
        <f>E156*I156</f>
        <v>6691.880000000001</v>
      </c>
      <c r="K156" s="280" t="s">
        <v>1168</v>
      </c>
      <c r="L156" s="281"/>
      <c r="M156" s="281"/>
    </row>
    <row r="157" spans="1:13" s="12" customFormat="1" outlineLevel="1">
      <c r="A157" s="63" t="s">
        <v>200</v>
      </c>
      <c r="B157" s="63"/>
      <c r="C157" s="96" t="s">
        <v>49</v>
      </c>
      <c r="D157" s="65"/>
      <c r="E157" s="66"/>
      <c r="F157" s="67"/>
      <c r="G157" s="67"/>
      <c r="H157" s="68"/>
      <c r="I157" s="68"/>
      <c r="J157" s="69"/>
      <c r="K157" s="280"/>
      <c r="L157" s="281"/>
      <c r="M157" s="281"/>
    </row>
    <row r="158" spans="1:13" s="4" customFormat="1" ht="33.75" outlineLevel="1">
      <c r="A158" s="71" t="s">
        <v>201</v>
      </c>
      <c r="B158" s="78">
        <v>170310</v>
      </c>
      <c r="C158" s="116" t="s">
        <v>316</v>
      </c>
      <c r="D158" s="79" t="s">
        <v>8</v>
      </c>
      <c r="E158" s="74">
        <v>1</v>
      </c>
      <c r="F158" s="75">
        <v>1820.24</v>
      </c>
      <c r="G158" s="75">
        <v>40.549999999999997</v>
      </c>
      <c r="H158" s="75">
        <f t="shared" ref="H158:H162" si="64">F158+G158</f>
        <v>1860.79</v>
      </c>
      <c r="I158" s="76">
        <f t="shared" ref="I158:I159" si="65">H158*(1+$J$4)</f>
        <v>2419.027</v>
      </c>
      <c r="J158" s="77">
        <f>E158*I158</f>
        <v>2419.027</v>
      </c>
      <c r="K158" s="280"/>
      <c r="L158" s="281"/>
      <c r="M158" s="281"/>
    </row>
    <row r="159" spans="1:13" s="4" customFormat="1" ht="33.75" customHeight="1" outlineLevel="1">
      <c r="A159" s="71" t="s">
        <v>202</v>
      </c>
      <c r="B159" s="78">
        <v>170304</v>
      </c>
      <c r="C159" s="116" t="s">
        <v>317</v>
      </c>
      <c r="D159" s="79" t="s">
        <v>8</v>
      </c>
      <c r="E159" s="74">
        <v>6</v>
      </c>
      <c r="F159" s="75">
        <v>696.21</v>
      </c>
      <c r="G159" s="75">
        <v>40.549999999999997</v>
      </c>
      <c r="H159" s="75">
        <f t="shared" si="64"/>
        <v>736.76</v>
      </c>
      <c r="I159" s="76">
        <f t="shared" si="65"/>
        <v>957.78800000000001</v>
      </c>
      <c r="J159" s="77">
        <f>E159*I159</f>
        <v>5746.7280000000001</v>
      </c>
      <c r="K159" s="280" t="s">
        <v>1168</v>
      </c>
      <c r="L159" s="281"/>
      <c r="M159" s="281"/>
    </row>
    <row r="160" spans="1:13" s="4" customFormat="1" ht="22.5" outlineLevel="1">
      <c r="A160" s="71" t="s">
        <v>203</v>
      </c>
      <c r="B160" s="78">
        <v>170519</v>
      </c>
      <c r="C160" s="94" t="s">
        <v>318</v>
      </c>
      <c r="D160" s="79" t="s">
        <v>8</v>
      </c>
      <c r="E160" s="74">
        <v>6</v>
      </c>
      <c r="F160" s="75">
        <v>389.78</v>
      </c>
      <c r="G160" s="75">
        <v>20.28</v>
      </c>
      <c r="H160" s="75">
        <f t="shared" si="64"/>
        <v>410.05999999999995</v>
      </c>
      <c r="I160" s="76">
        <f t="shared" ref="I160" si="66">H160*(1+$J$4)</f>
        <v>533.07799999999997</v>
      </c>
      <c r="J160" s="77">
        <f>E160*I160</f>
        <v>3198.4679999999998</v>
      </c>
      <c r="K160" s="280"/>
      <c r="L160" s="281"/>
      <c r="M160" s="281"/>
    </row>
    <row r="161" spans="1:13" s="4" customFormat="1" ht="22.5" outlineLevel="1">
      <c r="A161" s="71" t="s">
        <v>319</v>
      </c>
      <c r="B161" s="93">
        <v>170311</v>
      </c>
      <c r="C161" s="107" t="s">
        <v>876</v>
      </c>
      <c r="D161" s="79" t="s">
        <v>8</v>
      </c>
      <c r="E161" s="74">
        <v>7</v>
      </c>
      <c r="F161" s="75">
        <v>60.99</v>
      </c>
      <c r="G161" s="75">
        <v>38.520000000000003</v>
      </c>
      <c r="H161" s="75">
        <f t="shared" si="64"/>
        <v>99.51</v>
      </c>
      <c r="I161" s="76">
        <f t="shared" ref="I161" si="67">H161*(1+$J$4)</f>
        <v>129.363</v>
      </c>
      <c r="J161" s="77">
        <f>E161*I161</f>
        <v>905.54099999999994</v>
      </c>
      <c r="K161" s="280"/>
      <c r="L161" s="281"/>
      <c r="M161" s="281"/>
    </row>
    <row r="162" spans="1:13" s="4" customFormat="1" ht="22.5" customHeight="1" outlineLevel="1">
      <c r="A162" s="71" t="s">
        <v>320</v>
      </c>
      <c r="B162" s="93">
        <v>142115</v>
      </c>
      <c r="C162" s="107" t="s">
        <v>321</v>
      </c>
      <c r="D162" s="79" t="s">
        <v>8</v>
      </c>
      <c r="E162" s="74">
        <v>7</v>
      </c>
      <c r="F162" s="75">
        <v>129.9</v>
      </c>
      <c r="G162" s="75">
        <v>20.28</v>
      </c>
      <c r="H162" s="75">
        <f t="shared" si="64"/>
        <v>150.18</v>
      </c>
      <c r="I162" s="76">
        <f t="shared" ref="I162" si="68">H162*(1+$J$4)</f>
        <v>195.23400000000001</v>
      </c>
      <c r="J162" s="77">
        <f>E162*I162</f>
        <v>1366.6380000000001</v>
      </c>
      <c r="K162" s="280" t="s">
        <v>1168</v>
      </c>
      <c r="L162" s="281"/>
      <c r="M162" s="281"/>
    </row>
    <row r="163" spans="1:13" s="12" customFormat="1" outlineLevel="1">
      <c r="A163" s="63" t="s">
        <v>322</v>
      </c>
      <c r="B163" s="63"/>
      <c r="C163" s="96" t="s">
        <v>50</v>
      </c>
      <c r="D163" s="65"/>
      <c r="E163" s="66"/>
      <c r="F163" s="67"/>
      <c r="G163" s="67"/>
      <c r="H163" s="68"/>
      <c r="I163" s="68"/>
      <c r="J163" s="69"/>
      <c r="K163" s="280"/>
      <c r="L163" s="281"/>
      <c r="M163" s="281"/>
    </row>
    <row r="164" spans="1:13" s="4" customFormat="1" ht="45" outlineLevel="1">
      <c r="A164" s="71" t="s">
        <v>323</v>
      </c>
      <c r="B164" s="78">
        <v>170512</v>
      </c>
      <c r="C164" s="94" t="s">
        <v>327</v>
      </c>
      <c r="D164" s="79" t="s">
        <v>8</v>
      </c>
      <c r="E164" s="74">
        <v>1</v>
      </c>
      <c r="F164" s="75">
        <v>604.45000000000005</v>
      </c>
      <c r="G164" s="75">
        <v>50.69</v>
      </c>
      <c r="H164" s="75">
        <f t="shared" ref="H164:H167" si="69">F164+G164</f>
        <v>655.1400000000001</v>
      </c>
      <c r="I164" s="76">
        <f t="shared" ref="I164" si="70">H164*(1+$J$4)</f>
        <v>851.68200000000013</v>
      </c>
      <c r="J164" s="77">
        <f>E164*I164</f>
        <v>851.68200000000013</v>
      </c>
      <c r="K164" s="280"/>
      <c r="L164" s="281"/>
      <c r="M164" s="281"/>
    </row>
    <row r="165" spans="1:13" s="4" customFormat="1" ht="22.5" customHeight="1" outlineLevel="1">
      <c r="A165" s="71" t="s">
        <v>324</v>
      </c>
      <c r="B165" s="78">
        <v>170517</v>
      </c>
      <c r="C165" s="94" t="s">
        <v>328</v>
      </c>
      <c r="D165" s="79" t="s">
        <v>8</v>
      </c>
      <c r="E165" s="74">
        <v>4</v>
      </c>
      <c r="F165" s="75">
        <v>771.28</v>
      </c>
      <c r="G165" s="75">
        <v>15.93</v>
      </c>
      <c r="H165" s="75">
        <f t="shared" si="69"/>
        <v>787.20999999999992</v>
      </c>
      <c r="I165" s="76">
        <f t="shared" ref="I165:I167" si="71">H165*(1+$J$4)</f>
        <v>1023.3729999999999</v>
      </c>
      <c r="J165" s="77">
        <f>E165*I165</f>
        <v>4093.4919999999997</v>
      </c>
      <c r="K165" s="280" t="s">
        <v>1168</v>
      </c>
      <c r="L165" s="281"/>
      <c r="M165" s="281"/>
    </row>
    <row r="166" spans="1:13" s="4" customFormat="1" ht="22.5" outlineLevel="1">
      <c r="A166" s="71" t="s">
        <v>325</v>
      </c>
      <c r="B166" s="78">
        <v>170518</v>
      </c>
      <c r="C166" s="94" t="s">
        <v>329</v>
      </c>
      <c r="D166" s="79" t="s">
        <v>8</v>
      </c>
      <c r="E166" s="74">
        <v>2</v>
      </c>
      <c r="F166" s="75">
        <v>703.34</v>
      </c>
      <c r="G166" s="75">
        <v>15.93</v>
      </c>
      <c r="H166" s="75">
        <f t="shared" si="69"/>
        <v>719.27</v>
      </c>
      <c r="I166" s="76">
        <f t="shared" si="71"/>
        <v>935.05100000000004</v>
      </c>
      <c r="J166" s="77">
        <f>E166*I166</f>
        <v>1870.1020000000001</v>
      </c>
      <c r="K166" s="280"/>
      <c r="L166" s="281"/>
      <c r="M166" s="281"/>
    </row>
    <row r="167" spans="1:13" s="4" customFormat="1" ht="22.5" outlineLevel="1">
      <c r="A167" s="71" t="s">
        <v>326</v>
      </c>
      <c r="B167" s="78">
        <v>170519</v>
      </c>
      <c r="C167" s="94" t="s">
        <v>330</v>
      </c>
      <c r="D167" s="79" t="s">
        <v>8</v>
      </c>
      <c r="E167" s="74">
        <v>5</v>
      </c>
      <c r="F167" s="75">
        <v>629.32000000000005</v>
      </c>
      <c r="G167" s="75">
        <v>15.93</v>
      </c>
      <c r="H167" s="75">
        <f t="shared" si="69"/>
        <v>645.25</v>
      </c>
      <c r="I167" s="76">
        <f t="shared" si="71"/>
        <v>838.82500000000005</v>
      </c>
      <c r="J167" s="77">
        <f>E167*I167</f>
        <v>4194.125</v>
      </c>
      <c r="K167" s="280"/>
      <c r="L167" s="281"/>
      <c r="M167" s="281"/>
    </row>
    <row r="168" spans="1:13" s="12" customFormat="1" ht="15" customHeight="1">
      <c r="A168" s="58" t="s">
        <v>60</v>
      </c>
      <c r="B168" s="58"/>
      <c r="C168" s="91" t="s">
        <v>22</v>
      </c>
      <c r="D168" s="59"/>
      <c r="E168" s="59"/>
      <c r="F168" s="60"/>
      <c r="G168" s="60"/>
      <c r="H168" s="61"/>
      <c r="I168" s="61"/>
      <c r="J168" s="62">
        <f ca="1">SUM(OFFSET(J168,1,,,):OFFSET(J177,-1,,,))</f>
        <v>8516.6640000000007</v>
      </c>
      <c r="K168" s="280" t="s">
        <v>1168</v>
      </c>
      <c r="L168" s="281"/>
      <c r="M168" s="281"/>
    </row>
    <row r="169" spans="1:13" s="12" customFormat="1" outlineLevel="1">
      <c r="A169" s="63" t="s">
        <v>66</v>
      </c>
      <c r="B169" s="63"/>
      <c r="C169" s="96" t="s">
        <v>331</v>
      </c>
      <c r="D169" s="65"/>
      <c r="E169" s="66"/>
      <c r="F169" s="67"/>
      <c r="G169" s="67"/>
      <c r="H169" s="68"/>
      <c r="I169" s="68"/>
      <c r="J169" s="69"/>
      <c r="K169" s="280"/>
      <c r="L169" s="281"/>
      <c r="M169" s="281"/>
    </row>
    <row r="170" spans="1:13" s="5" customFormat="1" ht="33.75" outlineLevel="1">
      <c r="A170" s="92" t="s">
        <v>204</v>
      </c>
      <c r="B170" s="93">
        <v>170118</v>
      </c>
      <c r="C170" s="117" t="s">
        <v>333</v>
      </c>
      <c r="D170" s="95" t="s">
        <v>8</v>
      </c>
      <c r="E170" s="74">
        <v>4</v>
      </c>
      <c r="F170" s="75">
        <v>314.26</v>
      </c>
      <c r="G170" s="75">
        <v>15.93</v>
      </c>
      <c r="H170" s="75">
        <f t="shared" ref="H170:H172" si="72">F170+G170</f>
        <v>330.19</v>
      </c>
      <c r="I170" s="76">
        <f t="shared" ref="I170:I174" si="73">H170*(1+$J$4)</f>
        <v>429.24700000000001</v>
      </c>
      <c r="J170" s="77">
        <f>E170*I170</f>
        <v>1716.9880000000001</v>
      </c>
      <c r="K170" s="280"/>
      <c r="L170" s="281"/>
      <c r="M170" s="281"/>
    </row>
    <row r="171" spans="1:13" s="5" customFormat="1" ht="33.75" customHeight="1" outlineLevel="1">
      <c r="A171" s="92" t="s">
        <v>286</v>
      </c>
      <c r="B171" s="93">
        <v>170119</v>
      </c>
      <c r="C171" s="117" t="s">
        <v>334</v>
      </c>
      <c r="D171" s="95" t="s">
        <v>8</v>
      </c>
      <c r="E171" s="74">
        <v>4</v>
      </c>
      <c r="F171" s="75">
        <v>252.01</v>
      </c>
      <c r="G171" s="75">
        <v>15.93</v>
      </c>
      <c r="H171" s="75">
        <f t="shared" si="72"/>
        <v>267.94</v>
      </c>
      <c r="I171" s="76">
        <f t="shared" si="73"/>
        <v>348.322</v>
      </c>
      <c r="J171" s="77">
        <f>E171*I171</f>
        <v>1393.288</v>
      </c>
      <c r="K171" s="280" t="s">
        <v>1168</v>
      </c>
      <c r="L171" s="281"/>
      <c r="M171" s="281"/>
    </row>
    <row r="172" spans="1:13" s="5" customFormat="1" ht="33.75" outlineLevel="1">
      <c r="A172" s="92" t="s">
        <v>287</v>
      </c>
      <c r="B172" s="93">
        <v>170120</v>
      </c>
      <c r="C172" s="117" t="s">
        <v>335</v>
      </c>
      <c r="D172" s="95" t="s">
        <v>8</v>
      </c>
      <c r="E172" s="74">
        <v>6</v>
      </c>
      <c r="F172" s="75">
        <v>283.01</v>
      </c>
      <c r="G172" s="75">
        <v>15.93</v>
      </c>
      <c r="H172" s="75">
        <f t="shared" si="72"/>
        <v>298.94</v>
      </c>
      <c r="I172" s="76">
        <f t="shared" ref="I172" si="74">H172*(1+$J$4)</f>
        <v>388.62200000000001</v>
      </c>
      <c r="J172" s="77">
        <f>E172*I172</f>
        <v>2331.732</v>
      </c>
      <c r="K172" s="280"/>
      <c r="L172" s="281"/>
      <c r="M172" s="281"/>
    </row>
    <row r="173" spans="1:13" s="12" customFormat="1" outlineLevel="1">
      <c r="A173" s="63" t="s">
        <v>67</v>
      </c>
      <c r="B173" s="63"/>
      <c r="C173" s="96" t="s">
        <v>331</v>
      </c>
      <c r="D173" s="65"/>
      <c r="E173" s="66"/>
      <c r="F173" s="67"/>
      <c r="G173" s="67"/>
      <c r="H173" s="68"/>
      <c r="I173" s="68"/>
      <c r="J173" s="69"/>
      <c r="K173" s="280"/>
      <c r="L173" s="281"/>
      <c r="M173" s="281"/>
    </row>
    <row r="174" spans="1:13" s="4" customFormat="1" ht="22.5" customHeight="1" outlineLevel="1">
      <c r="A174" s="92" t="s">
        <v>205</v>
      </c>
      <c r="B174" s="93">
        <v>170121</v>
      </c>
      <c r="C174" s="94" t="s">
        <v>336</v>
      </c>
      <c r="D174" s="115" t="s">
        <v>8</v>
      </c>
      <c r="E174" s="74">
        <v>6</v>
      </c>
      <c r="F174" s="82">
        <v>179.99</v>
      </c>
      <c r="G174" s="76">
        <v>15.93</v>
      </c>
      <c r="H174" s="75">
        <f t="shared" ref="H174:H176" si="75">F174+G174</f>
        <v>195.92000000000002</v>
      </c>
      <c r="I174" s="76">
        <f t="shared" si="73"/>
        <v>254.69600000000003</v>
      </c>
      <c r="J174" s="77">
        <f>E174*I174</f>
        <v>1528.1760000000002</v>
      </c>
      <c r="K174" s="280" t="s">
        <v>1168</v>
      </c>
      <c r="L174" s="281"/>
      <c r="M174" s="281"/>
    </row>
    <row r="175" spans="1:13" s="12" customFormat="1" ht="14.25" customHeight="1" outlineLevel="1">
      <c r="A175" s="92" t="s">
        <v>206</v>
      </c>
      <c r="B175" s="93">
        <v>170122</v>
      </c>
      <c r="C175" s="94" t="s">
        <v>338</v>
      </c>
      <c r="D175" s="115" t="s">
        <v>8</v>
      </c>
      <c r="E175" s="74">
        <v>4</v>
      </c>
      <c r="F175" s="76">
        <v>189.99</v>
      </c>
      <c r="G175" s="76">
        <v>15.93</v>
      </c>
      <c r="H175" s="75">
        <f t="shared" si="75"/>
        <v>205.92000000000002</v>
      </c>
      <c r="I175" s="76">
        <f>H175*(1+$J$4)</f>
        <v>267.69600000000003</v>
      </c>
      <c r="J175" s="77">
        <f>E175*I175</f>
        <v>1070.7840000000001</v>
      </c>
      <c r="K175" s="280"/>
      <c r="L175" s="281"/>
      <c r="M175" s="281"/>
    </row>
    <row r="176" spans="1:13" s="4" customFormat="1" ht="14.25" customHeight="1" outlineLevel="1">
      <c r="A176" s="92" t="s">
        <v>207</v>
      </c>
      <c r="B176" s="93">
        <v>170123</v>
      </c>
      <c r="C176" s="94" t="s">
        <v>337</v>
      </c>
      <c r="D176" s="115" t="s">
        <v>8</v>
      </c>
      <c r="E176" s="74">
        <v>1</v>
      </c>
      <c r="F176" s="76">
        <v>349.99</v>
      </c>
      <c r="G176" s="76">
        <v>15.93</v>
      </c>
      <c r="H176" s="75">
        <f t="shared" si="75"/>
        <v>365.92</v>
      </c>
      <c r="I176" s="76">
        <f>H176*(1+$J$4)</f>
        <v>475.69600000000003</v>
      </c>
      <c r="J176" s="77">
        <f>E176*I176</f>
        <v>475.69600000000003</v>
      </c>
      <c r="K176" s="280"/>
      <c r="L176" s="281"/>
      <c r="M176" s="281"/>
    </row>
    <row r="177" spans="1:13" s="12" customFormat="1" ht="15" customHeight="1">
      <c r="A177" s="58" t="s">
        <v>61</v>
      </c>
      <c r="B177" s="58"/>
      <c r="C177" s="91" t="s">
        <v>15</v>
      </c>
      <c r="D177" s="59"/>
      <c r="E177" s="59"/>
      <c r="F177" s="60"/>
      <c r="G177" s="60"/>
      <c r="H177" s="61"/>
      <c r="I177" s="61"/>
      <c r="J177" s="62">
        <f ca="1">SUM(OFFSET(J177,1,,,):OFFSET(J381,-1,,,))</f>
        <v>150020.66776666662</v>
      </c>
      <c r="K177" s="280" t="s">
        <v>1168</v>
      </c>
      <c r="L177" s="281"/>
      <c r="M177" s="281"/>
    </row>
    <row r="178" spans="1:13" s="12" customFormat="1" outlineLevel="1">
      <c r="A178" s="63" t="s">
        <v>62</v>
      </c>
      <c r="B178" s="63"/>
      <c r="C178" s="96" t="s">
        <v>952</v>
      </c>
      <c r="D178" s="65"/>
      <c r="E178" s="66"/>
      <c r="F178" s="67"/>
      <c r="G178" s="67"/>
      <c r="H178" s="68"/>
      <c r="I178" s="68"/>
      <c r="J178" s="69"/>
      <c r="K178" s="280"/>
      <c r="L178" s="281"/>
      <c r="M178" s="281"/>
    </row>
    <row r="179" spans="1:13" s="12" customFormat="1" outlineLevel="1">
      <c r="A179" s="108" t="s">
        <v>63</v>
      </c>
      <c r="B179" s="108"/>
      <c r="C179" s="109" t="s">
        <v>747</v>
      </c>
      <c r="D179" s="110"/>
      <c r="E179" s="111"/>
      <c r="F179" s="112"/>
      <c r="G179" s="112"/>
      <c r="H179" s="113"/>
      <c r="I179" s="113"/>
      <c r="J179" s="114"/>
      <c r="K179" s="280"/>
      <c r="L179" s="281"/>
      <c r="M179" s="281"/>
    </row>
    <row r="180" spans="1:13" s="12" customFormat="1" ht="22.5" customHeight="1" outlineLevel="1">
      <c r="A180" s="71" t="s">
        <v>953</v>
      </c>
      <c r="B180" s="78" t="s">
        <v>158</v>
      </c>
      <c r="C180" s="94" t="s">
        <v>736</v>
      </c>
      <c r="D180" s="79" t="s">
        <v>5</v>
      </c>
      <c r="E180" s="74">
        <v>60</v>
      </c>
      <c r="F180" s="75">
        <v>2.4</v>
      </c>
      <c r="G180" s="75">
        <v>0</v>
      </c>
      <c r="H180" s="75">
        <f t="shared" ref="H180:H378" si="76">F180+G180</f>
        <v>2.4</v>
      </c>
      <c r="I180" s="76">
        <f t="shared" ref="I180:I380" si="77">H180*(1+$J$4)</f>
        <v>3.12</v>
      </c>
      <c r="J180" s="77">
        <f t="shared" ref="J180:J196" si="78">E180*I180</f>
        <v>187.20000000000002</v>
      </c>
      <c r="K180" s="280" t="s">
        <v>1168</v>
      </c>
      <c r="L180" s="281"/>
      <c r="M180" s="281"/>
    </row>
    <row r="181" spans="1:13" s="12" customFormat="1" ht="22.5" outlineLevel="1">
      <c r="A181" s="71" t="s">
        <v>954</v>
      </c>
      <c r="B181" s="78" t="s">
        <v>158</v>
      </c>
      <c r="C181" s="94" t="s">
        <v>737</v>
      </c>
      <c r="D181" s="79" t="s">
        <v>5</v>
      </c>
      <c r="E181" s="74">
        <v>800</v>
      </c>
      <c r="F181" s="75">
        <v>2.4</v>
      </c>
      <c r="G181" s="75">
        <v>0</v>
      </c>
      <c r="H181" s="75">
        <f t="shared" si="76"/>
        <v>2.4</v>
      </c>
      <c r="I181" s="76">
        <f t="shared" si="77"/>
        <v>3.12</v>
      </c>
      <c r="J181" s="77">
        <f t="shared" si="78"/>
        <v>2496</v>
      </c>
      <c r="K181" s="280"/>
      <c r="L181" s="281"/>
      <c r="M181" s="281"/>
    </row>
    <row r="182" spans="1:13" s="12" customFormat="1" ht="22.5" outlineLevel="1">
      <c r="A182" s="71" t="s">
        <v>955</v>
      </c>
      <c r="B182" s="78" t="s">
        <v>158</v>
      </c>
      <c r="C182" s="94" t="s">
        <v>738</v>
      </c>
      <c r="D182" s="79" t="s">
        <v>5</v>
      </c>
      <c r="E182" s="74">
        <v>25</v>
      </c>
      <c r="F182" s="75">
        <v>2.4</v>
      </c>
      <c r="G182" s="75">
        <v>0</v>
      </c>
      <c r="H182" s="75">
        <f t="shared" si="76"/>
        <v>2.4</v>
      </c>
      <c r="I182" s="76">
        <f t="shared" si="77"/>
        <v>3.12</v>
      </c>
      <c r="J182" s="77">
        <f t="shared" si="78"/>
        <v>78</v>
      </c>
      <c r="K182" s="280"/>
      <c r="L182" s="281"/>
      <c r="M182" s="281"/>
    </row>
    <row r="183" spans="1:13" s="12" customFormat="1" ht="22.5" customHeight="1" outlineLevel="1">
      <c r="A183" s="71" t="s">
        <v>956</v>
      </c>
      <c r="B183" s="78" t="s">
        <v>158</v>
      </c>
      <c r="C183" s="94" t="s">
        <v>730</v>
      </c>
      <c r="D183" s="79" t="s">
        <v>5</v>
      </c>
      <c r="E183" s="74">
        <v>300</v>
      </c>
      <c r="F183" s="75">
        <v>1.99</v>
      </c>
      <c r="G183" s="75">
        <v>0</v>
      </c>
      <c r="H183" s="75">
        <f t="shared" si="76"/>
        <v>1.99</v>
      </c>
      <c r="I183" s="76">
        <f t="shared" si="77"/>
        <v>2.5870000000000002</v>
      </c>
      <c r="J183" s="77">
        <f t="shared" si="78"/>
        <v>776.1</v>
      </c>
      <c r="K183" s="280" t="s">
        <v>1168</v>
      </c>
      <c r="L183" s="281"/>
      <c r="M183" s="281"/>
    </row>
    <row r="184" spans="1:13" s="12" customFormat="1" ht="22.5" outlineLevel="1">
      <c r="A184" s="71" t="s">
        <v>957</v>
      </c>
      <c r="B184" s="78" t="s">
        <v>158</v>
      </c>
      <c r="C184" s="94" t="s">
        <v>731</v>
      </c>
      <c r="D184" s="79" t="s">
        <v>5</v>
      </c>
      <c r="E184" s="74">
        <v>350</v>
      </c>
      <c r="F184" s="75">
        <v>1.99</v>
      </c>
      <c r="G184" s="75">
        <v>0</v>
      </c>
      <c r="H184" s="75">
        <f t="shared" si="76"/>
        <v>1.99</v>
      </c>
      <c r="I184" s="76">
        <f t="shared" si="77"/>
        <v>2.5870000000000002</v>
      </c>
      <c r="J184" s="77">
        <f t="shared" si="78"/>
        <v>905.45</v>
      </c>
      <c r="K184" s="280"/>
      <c r="L184" s="281"/>
      <c r="M184" s="281"/>
    </row>
    <row r="185" spans="1:13" s="12" customFormat="1" ht="22.5" outlineLevel="1">
      <c r="A185" s="71" t="s">
        <v>958</v>
      </c>
      <c r="B185" s="78" t="s">
        <v>158</v>
      </c>
      <c r="C185" s="94" t="s">
        <v>732</v>
      </c>
      <c r="D185" s="79" t="s">
        <v>5</v>
      </c>
      <c r="E185" s="74">
        <v>350</v>
      </c>
      <c r="F185" s="75">
        <v>1.99</v>
      </c>
      <c r="G185" s="75">
        <v>0</v>
      </c>
      <c r="H185" s="75">
        <f t="shared" si="76"/>
        <v>1.99</v>
      </c>
      <c r="I185" s="76">
        <f t="shared" si="77"/>
        <v>2.5870000000000002</v>
      </c>
      <c r="J185" s="77">
        <f t="shared" si="78"/>
        <v>905.45</v>
      </c>
      <c r="K185" s="280"/>
      <c r="L185" s="281"/>
      <c r="M185" s="281"/>
    </row>
    <row r="186" spans="1:13" s="12" customFormat="1" ht="22.5" customHeight="1" outlineLevel="1">
      <c r="A186" s="71" t="s">
        <v>959</v>
      </c>
      <c r="B186" s="78" t="s">
        <v>158</v>
      </c>
      <c r="C186" s="94" t="s">
        <v>733</v>
      </c>
      <c r="D186" s="79" t="s">
        <v>5</v>
      </c>
      <c r="E186" s="74">
        <v>180</v>
      </c>
      <c r="F186" s="75">
        <v>1.99</v>
      </c>
      <c r="G186" s="75">
        <v>0</v>
      </c>
      <c r="H186" s="75">
        <f t="shared" si="76"/>
        <v>1.99</v>
      </c>
      <c r="I186" s="76">
        <f t="shared" si="77"/>
        <v>2.5870000000000002</v>
      </c>
      <c r="J186" s="77">
        <f t="shared" si="78"/>
        <v>465.66</v>
      </c>
      <c r="K186" s="280" t="s">
        <v>1168</v>
      </c>
      <c r="L186" s="281"/>
      <c r="M186" s="281"/>
    </row>
    <row r="187" spans="1:13" s="12" customFormat="1" ht="22.5" outlineLevel="1">
      <c r="A187" s="71" t="s">
        <v>960</v>
      </c>
      <c r="B187" s="78" t="s">
        <v>158</v>
      </c>
      <c r="C187" s="94" t="s">
        <v>734</v>
      </c>
      <c r="D187" s="79" t="s">
        <v>5</v>
      </c>
      <c r="E187" s="74">
        <v>350</v>
      </c>
      <c r="F187" s="75">
        <v>1.99</v>
      </c>
      <c r="G187" s="75">
        <v>0</v>
      </c>
      <c r="H187" s="75">
        <f t="shared" si="76"/>
        <v>1.99</v>
      </c>
      <c r="I187" s="76">
        <f t="shared" si="77"/>
        <v>2.5870000000000002</v>
      </c>
      <c r="J187" s="77">
        <f t="shared" si="78"/>
        <v>905.45</v>
      </c>
      <c r="K187" s="280"/>
      <c r="L187" s="281"/>
      <c r="M187" s="281"/>
    </row>
    <row r="188" spans="1:13" s="12" customFormat="1" ht="22.5" outlineLevel="1">
      <c r="A188" s="71" t="s">
        <v>961</v>
      </c>
      <c r="B188" s="78" t="s">
        <v>158</v>
      </c>
      <c r="C188" s="94" t="s">
        <v>735</v>
      </c>
      <c r="D188" s="79" t="s">
        <v>5</v>
      </c>
      <c r="E188" s="74">
        <v>100</v>
      </c>
      <c r="F188" s="75">
        <v>1.99</v>
      </c>
      <c r="G188" s="75">
        <v>0</v>
      </c>
      <c r="H188" s="75">
        <f t="shared" si="76"/>
        <v>1.99</v>
      </c>
      <c r="I188" s="76">
        <f t="shared" si="77"/>
        <v>2.5870000000000002</v>
      </c>
      <c r="J188" s="77">
        <f t="shared" si="78"/>
        <v>258.70000000000005</v>
      </c>
      <c r="K188" s="280"/>
      <c r="L188" s="281"/>
      <c r="M188" s="281"/>
    </row>
    <row r="189" spans="1:13" s="12" customFormat="1" ht="22.5" customHeight="1" outlineLevel="1">
      <c r="A189" s="71" t="s">
        <v>962</v>
      </c>
      <c r="B189" s="78" t="s">
        <v>158</v>
      </c>
      <c r="C189" s="94" t="s">
        <v>739</v>
      </c>
      <c r="D189" s="79" t="s">
        <v>5</v>
      </c>
      <c r="E189" s="74">
        <v>50</v>
      </c>
      <c r="F189" s="75">
        <v>3.03</v>
      </c>
      <c r="G189" s="75">
        <v>0</v>
      </c>
      <c r="H189" s="75">
        <f t="shared" si="76"/>
        <v>3.03</v>
      </c>
      <c r="I189" s="76">
        <f t="shared" si="77"/>
        <v>3.9390000000000001</v>
      </c>
      <c r="J189" s="77">
        <f t="shared" si="78"/>
        <v>196.95</v>
      </c>
      <c r="K189" s="280" t="s">
        <v>1168</v>
      </c>
      <c r="L189" s="281"/>
      <c r="M189" s="281"/>
    </row>
    <row r="190" spans="1:13" s="12" customFormat="1" ht="22.5" outlineLevel="1">
      <c r="A190" s="71" t="s">
        <v>963</v>
      </c>
      <c r="B190" s="78" t="s">
        <v>158</v>
      </c>
      <c r="C190" s="94" t="s">
        <v>740</v>
      </c>
      <c r="D190" s="79" t="s">
        <v>5</v>
      </c>
      <c r="E190" s="74">
        <v>100</v>
      </c>
      <c r="F190" s="75">
        <v>3.03</v>
      </c>
      <c r="G190" s="75">
        <v>0</v>
      </c>
      <c r="H190" s="75">
        <f t="shared" si="76"/>
        <v>3.03</v>
      </c>
      <c r="I190" s="76">
        <f t="shared" si="77"/>
        <v>3.9390000000000001</v>
      </c>
      <c r="J190" s="77">
        <f t="shared" si="78"/>
        <v>393.9</v>
      </c>
      <c r="K190" s="280"/>
      <c r="L190" s="281"/>
      <c r="M190" s="281"/>
    </row>
    <row r="191" spans="1:13" s="12" customFormat="1" ht="22.5" outlineLevel="1">
      <c r="A191" s="71" t="s">
        <v>964</v>
      </c>
      <c r="B191" s="78" t="s">
        <v>158</v>
      </c>
      <c r="C191" s="94" t="s">
        <v>741</v>
      </c>
      <c r="D191" s="79" t="s">
        <v>5</v>
      </c>
      <c r="E191" s="74">
        <v>100</v>
      </c>
      <c r="F191" s="75">
        <v>3.03</v>
      </c>
      <c r="G191" s="75">
        <v>0</v>
      </c>
      <c r="H191" s="75">
        <f t="shared" si="76"/>
        <v>3.03</v>
      </c>
      <c r="I191" s="76">
        <f t="shared" si="77"/>
        <v>3.9390000000000001</v>
      </c>
      <c r="J191" s="77">
        <f t="shared" si="78"/>
        <v>393.9</v>
      </c>
      <c r="K191" s="280"/>
      <c r="L191" s="281"/>
      <c r="M191" s="281"/>
    </row>
    <row r="192" spans="1:13" s="12" customFormat="1" ht="22.5" customHeight="1" outlineLevel="1">
      <c r="A192" s="71" t="s">
        <v>965</v>
      </c>
      <c r="B192" s="78" t="s">
        <v>158</v>
      </c>
      <c r="C192" s="94" t="s">
        <v>742</v>
      </c>
      <c r="D192" s="79" t="s">
        <v>5</v>
      </c>
      <c r="E192" s="74">
        <v>70</v>
      </c>
      <c r="F192" s="75">
        <v>3.03</v>
      </c>
      <c r="G192" s="75">
        <v>0</v>
      </c>
      <c r="H192" s="75">
        <f t="shared" si="76"/>
        <v>3.03</v>
      </c>
      <c r="I192" s="76">
        <f t="shared" si="77"/>
        <v>3.9390000000000001</v>
      </c>
      <c r="J192" s="77">
        <f t="shared" si="78"/>
        <v>275.73</v>
      </c>
      <c r="K192" s="280" t="s">
        <v>1168</v>
      </c>
      <c r="L192" s="281"/>
      <c r="M192" s="281"/>
    </row>
    <row r="193" spans="1:13" s="12" customFormat="1" ht="22.5" outlineLevel="1">
      <c r="A193" s="71" t="s">
        <v>966</v>
      </c>
      <c r="B193" s="78" t="s">
        <v>158</v>
      </c>
      <c r="C193" s="94" t="s">
        <v>743</v>
      </c>
      <c r="D193" s="79" t="s">
        <v>5</v>
      </c>
      <c r="E193" s="74">
        <v>25</v>
      </c>
      <c r="F193" s="75">
        <v>4.5</v>
      </c>
      <c r="G193" s="75">
        <v>0</v>
      </c>
      <c r="H193" s="75">
        <f t="shared" si="76"/>
        <v>4.5</v>
      </c>
      <c r="I193" s="76">
        <f t="shared" si="77"/>
        <v>5.8500000000000005</v>
      </c>
      <c r="J193" s="77">
        <f t="shared" si="78"/>
        <v>146.25</v>
      </c>
      <c r="K193" s="280"/>
      <c r="L193" s="281"/>
      <c r="M193" s="281"/>
    </row>
    <row r="194" spans="1:13" s="12" customFormat="1" ht="22.5" outlineLevel="1">
      <c r="A194" s="71" t="s">
        <v>967</v>
      </c>
      <c r="B194" s="78" t="s">
        <v>158</v>
      </c>
      <c r="C194" s="94" t="s">
        <v>744</v>
      </c>
      <c r="D194" s="79" t="s">
        <v>5</v>
      </c>
      <c r="E194" s="74">
        <v>40</v>
      </c>
      <c r="F194" s="75">
        <v>4.5</v>
      </c>
      <c r="G194" s="75">
        <v>0</v>
      </c>
      <c r="H194" s="75">
        <f t="shared" si="76"/>
        <v>4.5</v>
      </c>
      <c r="I194" s="76">
        <f t="shared" si="77"/>
        <v>5.8500000000000005</v>
      </c>
      <c r="J194" s="77">
        <f t="shared" si="78"/>
        <v>234.00000000000003</v>
      </c>
      <c r="K194" s="280"/>
      <c r="L194" s="281"/>
      <c r="M194" s="281"/>
    </row>
    <row r="195" spans="1:13" s="12" customFormat="1" ht="22.5" customHeight="1" outlineLevel="1">
      <c r="A195" s="71" t="s">
        <v>968</v>
      </c>
      <c r="B195" s="78" t="s">
        <v>158</v>
      </c>
      <c r="C195" s="94" t="s">
        <v>745</v>
      </c>
      <c r="D195" s="79" t="s">
        <v>5</v>
      </c>
      <c r="E195" s="74">
        <v>40</v>
      </c>
      <c r="F195" s="75">
        <v>4.5</v>
      </c>
      <c r="G195" s="75">
        <v>0</v>
      </c>
      <c r="H195" s="75">
        <f t="shared" si="76"/>
        <v>4.5</v>
      </c>
      <c r="I195" s="76">
        <f t="shared" si="77"/>
        <v>5.8500000000000005</v>
      </c>
      <c r="J195" s="77">
        <f t="shared" si="78"/>
        <v>234.00000000000003</v>
      </c>
      <c r="K195" s="280" t="s">
        <v>1168</v>
      </c>
      <c r="L195" s="281"/>
      <c r="M195" s="281"/>
    </row>
    <row r="196" spans="1:13" s="12" customFormat="1" ht="22.5" outlineLevel="1">
      <c r="A196" s="71" t="s">
        <v>969</v>
      </c>
      <c r="B196" s="78" t="s">
        <v>158</v>
      </c>
      <c r="C196" s="94" t="s">
        <v>746</v>
      </c>
      <c r="D196" s="79" t="s">
        <v>5</v>
      </c>
      <c r="E196" s="74">
        <v>40</v>
      </c>
      <c r="F196" s="75">
        <v>4.5</v>
      </c>
      <c r="G196" s="75">
        <v>0</v>
      </c>
      <c r="H196" s="75">
        <f t="shared" si="76"/>
        <v>4.5</v>
      </c>
      <c r="I196" s="76">
        <f t="shared" si="77"/>
        <v>5.8500000000000005</v>
      </c>
      <c r="J196" s="77">
        <f t="shared" si="78"/>
        <v>234.00000000000003</v>
      </c>
      <c r="K196" s="280"/>
      <c r="L196" s="281"/>
      <c r="M196" s="281"/>
    </row>
    <row r="197" spans="1:13" s="12" customFormat="1" outlineLevel="1">
      <c r="A197" s="108" t="s">
        <v>64</v>
      </c>
      <c r="B197" s="108"/>
      <c r="C197" s="109" t="s">
        <v>681</v>
      </c>
      <c r="D197" s="110"/>
      <c r="E197" s="111"/>
      <c r="F197" s="112"/>
      <c r="G197" s="112"/>
      <c r="H197" s="113"/>
      <c r="I197" s="113"/>
      <c r="J197" s="114"/>
      <c r="K197" s="280"/>
      <c r="L197" s="281"/>
      <c r="M197" s="281"/>
    </row>
    <row r="198" spans="1:13" s="12" customFormat="1" ht="22.5" customHeight="1" outlineLevel="1">
      <c r="A198" s="71" t="s">
        <v>970</v>
      </c>
      <c r="B198" s="78" t="s">
        <v>158</v>
      </c>
      <c r="C198" s="94" t="s">
        <v>748</v>
      </c>
      <c r="D198" s="79" t="s">
        <v>679</v>
      </c>
      <c r="E198" s="74">
        <v>27</v>
      </c>
      <c r="F198" s="75">
        <v>38.299999999999997</v>
      </c>
      <c r="G198" s="75">
        <v>0</v>
      </c>
      <c r="H198" s="75">
        <f t="shared" ref="H198:H202" si="79">F198+G198</f>
        <v>38.299999999999997</v>
      </c>
      <c r="I198" s="76">
        <f t="shared" ref="I198:I202" si="80">H198*(1+$J$4)</f>
        <v>49.79</v>
      </c>
      <c r="J198" s="77">
        <f t="shared" ref="J198:J202" si="81">E198*I198</f>
        <v>1344.33</v>
      </c>
      <c r="K198" s="280" t="s">
        <v>1168</v>
      </c>
      <c r="L198" s="281"/>
      <c r="M198" s="281"/>
    </row>
    <row r="199" spans="1:13" s="12" customFormat="1" ht="22.5" outlineLevel="1">
      <c r="A199" s="71" t="s">
        <v>972</v>
      </c>
      <c r="B199" s="78" t="s">
        <v>158</v>
      </c>
      <c r="C199" s="94" t="s">
        <v>749</v>
      </c>
      <c r="D199" s="79" t="s">
        <v>679</v>
      </c>
      <c r="E199" s="74">
        <v>2</v>
      </c>
      <c r="F199" s="75">
        <v>264.52</v>
      </c>
      <c r="G199" s="75">
        <v>0</v>
      </c>
      <c r="H199" s="75">
        <f t="shared" si="79"/>
        <v>264.52</v>
      </c>
      <c r="I199" s="76">
        <f t="shared" si="80"/>
        <v>343.87599999999998</v>
      </c>
      <c r="J199" s="77">
        <f t="shared" si="81"/>
        <v>687.75199999999995</v>
      </c>
      <c r="K199" s="280"/>
      <c r="L199" s="281"/>
      <c r="M199" s="281"/>
    </row>
    <row r="200" spans="1:13" s="12" customFormat="1" outlineLevel="1">
      <c r="A200" s="71" t="s">
        <v>973</v>
      </c>
      <c r="B200" s="78" t="s">
        <v>158</v>
      </c>
      <c r="C200" s="94" t="s">
        <v>750</v>
      </c>
      <c r="D200" s="79" t="s">
        <v>679</v>
      </c>
      <c r="E200" s="74">
        <v>83</v>
      </c>
      <c r="F200" s="75">
        <v>8.18</v>
      </c>
      <c r="G200" s="75">
        <v>0</v>
      </c>
      <c r="H200" s="75">
        <f t="shared" si="79"/>
        <v>8.18</v>
      </c>
      <c r="I200" s="76">
        <f t="shared" si="80"/>
        <v>10.634</v>
      </c>
      <c r="J200" s="77">
        <f t="shared" si="81"/>
        <v>882.62200000000007</v>
      </c>
      <c r="K200" s="280"/>
      <c r="L200" s="281"/>
      <c r="M200" s="281"/>
    </row>
    <row r="201" spans="1:13" s="12" customFormat="1" ht="15" customHeight="1" outlineLevel="1">
      <c r="A201" s="71" t="s">
        <v>974</v>
      </c>
      <c r="B201" s="78" t="s">
        <v>158</v>
      </c>
      <c r="C201" s="94" t="s">
        <v>751</v>
      </c>
      <c r="D201" s="79" t="s">
        <v>679</v>
      </c>
      <c r="E201" s="74">
        <v>2</v>
      </c>
      <c r="F201" s="75">
        <v>99</v>
      </c>
      <c r="G201" s="75">
        <v>0</v>
      </c>
      <c r="H201" s="75">
        <f t="shared" si="79"/>
        <v>99</v>
      </c>
      <c r="I201" s="76">
        <f t="shared" si="80"/>
        <v>128.70000000000002</v>
      </c>
      <c r="J201" s="77">
        <f t="shared" si="81"/>
        <v>257.40000000000003</v>
      </c>
      <c r="K201" s="280" t="s">
        <v>1168</v>
      </c>
      <c r="L201" s="281"/>
      <c r="M201" s="281"/>
    </row>
    <row r="202" spans="1:13" s="12" customFormat="1" outlineLevel="1">
      <c r="A202" s="71" t="s">
        <v>975</v>
      </c>
      <c r="B202" s="78" t="s">
        <v>158</v>
      </c>
      <c r="C202" s="94" t="s">
        <v>752</v>
      </c>
      <c r="D202" s="79" t="s">
        <v>679</v>
      </c>
      <c r="E202" s="74">
        <v>15</v>
      </c>
      <c r="F202" s="75">
        <v>89.9</v>
      </c>
      <c r="G202" s="75">
        <v>0</v>
      </c>
      <c r="H202" s="75">
        <f t="shared" si="79"/>
        <v>89.9</v>
      </c>
      <c r="I202" s="76">
        <f t="shared" si="80"/>
        <v>116.87</v>
      </c>
      <c r="J202" s="77">
        <f t="shared" si="81"/>
        <v>1753.0500000000002</v>
      </c>
      <c r="K202" s="280"/>
      <c r="L202" s="281"/>
      <c r="M202" s="281"/>
    </row>
    <row r="203" spans="1:13" s="12" customFormat="1" outlineLevel="1">
      <c r="A203" s="108" t="s">
        <v>598</v>
      </c>
      <c r="B203" s="108"/>
      <c r="C203" s="109" t="s">
        <v>763</v>
      </c>
      <c r="D203" s="110"/>
      <c r="E203" s="111"/>
      <c r="F203" s="112"/>
      <c r="G203" s="112"/>
      <c r="H203" s="113"/>
      <c r="I203" s="113"/>
      <c r="J203" s="114"/>
      <c r="K203" s="280"/>
      <c r="L203" s="281"/>
      <c r="M203" s="281"/>
    </row>
    <row r="204" spans="1:13" s="12" customFormat="1" ht="15" customHeight="1" outlineLevel="1">
      <c r="A204" s="71" t="s">
        <v>976</v>
      </c>
      <c r="B204" s="78" t="s">
        <v>158</v>
      </c>
      <c r="C204" s="94" t="s">
        <v>764</v>
      </c>
      <c r="D204" s="79" t="s">
        <v>679</v>
      </c>
      <c r="E204" s="74">
        <v>18</v>
      </c>
      <c r="F204" s="75">
        <v>6.79</v>
      </c>
      <c r="G204" s="75">
        <v>0</v>
      </c>
      <c r="H204" s="75">
        <f t="shared" ref="H204:H207" si="82">F204+G204</f>
        <v>6.79</v>
      </c>
      <c r="I204" s="76">
        <f t="shared" ref="I204:I207" si="83">H204*(1+$J$4)</f>
        <v>8.827</v>
      </c>
      <c r="J204" s="77">
        <f t="shared" ref="J204:J207" si="84">E204*I204</f>
        <v>158.886</v>
      </c>
      <c r="K204" s="280" t="s">
        <v>1168</v>
      </c>
      <c r="L204" s="281"/>
      <c r="M204" s="281"/>
    </row>
    <row r="205" spans="1:13" s="12" customFormat="1" outlineLevel="1">
      <c r="A205" s="71" t="s">
        <v>979</v>
      </c>
      <c r="B205" s="78" t="s">
        <v>158</v>
      </c>
      <c r="C205" s="94" t="s">
        <v>765</v>
      </c>
      <c r="D205" s="79" t="s">
        <v>679</v>
      </c>
      <c r="E205" s="74">
        <v>2</v>
      </c>
      <c r="F205" s="75">
        <v>13.9</v>
      </c>
      <c r="G205" s="75">
        <v>0</v>
      </c>
      <c r="H205" s="75">
        <f t="shared" si="82"/>
        <v>13.9</v>
      </c>
      <c r="I205" s="76">
        <f t="shared" si="83"/>
        <v>18.07</v>
      </c>
      <c r="J205" s="77">
        <f t="shared" si="84"/>
        <v>36.14</v>
      </c>
      <c r="K205" s="280"/>
      <c r="L205" s="281"/>
      <c r="M205" s="281"/>
    </row>
    <row r="206" spans="1:13" s="12" customFormat="1" outlineLevel="1">
      <c r="A206" s="71" t="s">
        <v>980</v>
      </c>
      <c r="B206" s="78" t="s">
        <v>158</v>
      </c>
      <c r="C206" s="94" t="s">
        <v>766</v>
      </c>
      <c r="D206" s="79" t="s">
        <v>679</v>
      </c>
      <c r="E206" s="74">
        <v>9</v>
      </c>
      <c r="F206" s="75">
        <v>17.760000000000002</v>
      </c>
      <c r="G206" s="75">
        <v>0</v>
      </c>
      <c r="H206" s="75">
        <f t="shared" si="82"/>
        <v>17.760000000000002</v>
      </c>
      <c r="I206" s="76">
        <f t="shared" si="83"/>
        <v>23.088000000000005</v>
      </c>
      <c r="J206" s="77">
        <f t="shared" si="84"/>
        <v>207.79200000000003</v>
      </c>
      <c r="K206" s="280"/>
      <c r="L206" s="281"/>
      <c r="M206" s="281"/>
    </row>
    <row r="207" spans="1:13" s="12" customFormat="1" ht="15" customHeight="1" outlineLevel="1">
      <c r="A207" s="71" t="s">
        <v>981</v>
      </c>
      <c r="B207" s="78" t="s">
        <v>158</v>
      </c>
      <c r="C207" s="94" t="s">
        <v>762</v>
      </c>
      <c r="D207" s="79" t="s">
        <v>5</v>
      </c>
      <c r="E207" s="74">
        <v>18</v>
      </c>
      <c r="F207" s="75">
        <f>32.61/2</f>
        <v>16.305</v>
      </c>
      <c r="G207" s="75">
        <v>0</v>
      </c>
      <c r="H207" s="75">
        <f t="shared" si="82"/>
        <v>16.305</v>
      </c>
      <c r="I207" s="76">
        <f t="shared" si="83"/>
        <v>21.1965</v>
      </c>
      <c r="J207" s="77">
        <f t="shared" si="84"/>
        <v>381.53700000000003</v>
      </c>
      <c r="K207" s="280" t="s">
        <v>1168</v>
      </c>
      <c r="L207" s="281"/>
      <c r="M207" s="281"/>
    </row>
    <row r="208" spans="1:13" s="12" customFormat="1" outlineLevel="1">
      <c r="A208" s="108" t="s">
        <v>982</v>
      </c>
      <c r="B208" s="108"/>
      <c r="C208" s="109" t="s">
        <v>682</v>
      </c>
      <c r="D208" s="110"/>
      <c r="E208" s="111"/>
      <c r="F208" s="112"/>
      <c r="G208" s="112"/>
      <c r="H208" s="113"/>
      <c r="I208" s="113"/>
      <c r="J208" s="114"/>
      <c r="K208" s="280"/>
      <c r="L208" s="281"/>
      <c r="M208" s="281"/>
    </row>
    <row r="209" spans="1:13" s="12" customFormat="1" outlineLevel="1">
      <c r="A209" s="71" t="s">
        <v>971</v>
      </c>
      <c r="B209" s="78" t="s">
        <v>158</v>
      </c>
      <c r="C209" s="94" t="s">
        <v>760</v>
      </c>
      <c r="D209" s="79" t="s">
        <v>5</v>
      </c>
      <c r="E209" s="74">
        <v>20</v>
      </c>
      <c r="F209" s="75">
        <f>103.78/50</f>
        <v>2.0756000000000001</v>
      </c>
      <c r="G209" s="75">
        <v>0</v>
      </c>
      <c r="H209" s="75">
        <f t="shared" ref="H209:H210" si="85">F209+G209</f>
        <v>2.0756000000000001</v>
      </c>
      <c r="I209" s="76">
        <f t="shared" ref="I209:I210" si="86">H209*(1+$J$4)</f>
        <v>2.6982800000000005</v>
      </c>
      <c r="J209" s="77">
        <f t="shared" ref="J209:J210" si="87">E209*I209</f>
        <v>53.965600000000009</v>
      </c>
      <c r="K209" s="280"/>
      <c r="L209" s="281"/>
      <c r="M209" s="281"/>
    </row>
    <row r="210" spans="1:13" s="12" customFormat="1" ht="15" customHeight="1" outlineLevel="1">
      <c r="A210" s="71" t="s">
        <v>983</v>
      </c>
      <c r="B210" s="78" t="s">
        <v>158</v>
      </c>
      <c r="C210" s="94" t="s">
        <v>761</v>
      </c>
      <c r="D210" s="79" t="s">
        <v>5</v>
      </c>
      <c r="E210" s="74">
        <v>100</v>
      </c>
      <c r="F210" s="75">
        <f>154.9/50</f>
        <v>3.0980000000000003</v>
      </c>
      <c r="G210" s="75">
        <v>0</v>
      </c>
      <c r="H210" s="75">
        <f t="shared" si="85"/>
        <v>3.0980000000000003</v>
      </c>
      <c r="I210" s="76">
        <f t="shared" si="86"/>
        <v>4.027400000000001</v>
      </c>
      <c r="J210" s="77">
        <f t="shared" si="87"/>
        <v>402.74000000000012</v>
      </c>
      <c r="K210" s="280" t="s">
        <v>1168</v>
      </c>
      <c r="L210" s="281"/>
      <c r="M210" s="281"/>
    </row>
    <row r="211" spans="1:13" s="12" customFormat="1" outlineLevel="1">
      <c r="A211" s="108" t="s">
        <v>984</v>
      </c>
      <c r="B211" s="108"/>
      <c r="C211" s="109" t="s">
        <v>759</v>
      </c>
      <c r="D211" s="110"/>
      <c r="E211" s="111"/>
      <c r="F211" s="112"/>
      <c r="G211" s="112"/>
      <c r="H211" s="113"/>
      <c r="I211" s="113"/>
      <c r="J211" s="114"/>
      <c r="K211" s="280"/>
      <c r="L211" s="281"/>
      <c r="M211" s="281"/>
    </row>
    <row r="212" spans="1:13" s="12" customFormat="1" outlineLevel="1">
      <c r="A212" s="71" t="s">
        <v>985</v>
      </c>
      <c r="B212" s="78" t="s">
        <v>158</v>
      </c>
      <c r="C212" s="94" t="s">
        <v>753</v>
      </c>
      <c r="D212" s="79" t="s">
        <v>679</v>
      </c>
      <c r="E212" s="74">
        <v>37</v>
      </c>
      <c r="F212" s="75">
        <v>91.6</v>
      </c>
      <c r="G212" s="75">
        <v>0</v>
      </c>
      <c r="H212" s="75">
        <f t="shared" ref="H212:H217" si="88">F212+G212</f>
        <v>91.6</v>
      </c>
      <c r="I212" s="76">
        <f t="shared" ref="I212:I217" si="89">H212*(1+$J$4)</f>
        <v>119.08</v>
      </c>
      <c r="J212" s="77">
        <f t="shared" ref="J212:J217" si="90">E212*I212</f>
        <v>4405.96</v>
      </c>
      <c r="K212" s="280"/>
      <c r="L212" s="281"/>
      <c r="M212" s="281"/>
    </row>
    <row r="213" spans="1:13" s="12" customFormat="1" ht="15" customHeight="1" outlineLevel="1">
      <c r="A213" s="71" t="s">
        <v>986</v>
      </c>
      <c r="B213" s="78" t="s">
        <v>158</v>
      </c>
      <c r="C213" s="94" t="s">
        <v>754</v>
      </c>
      <c r="D213" s="79" t="s">
        <v>679</v>
      </c>
      <c r="E213" s="74">
        <v>7</v>
      </c>
      <c r="F213" s="75">
        <v>127.6</v>
      </c>
      <c r="G213" s="75">
        <v>0</v>
      </c>
      <c r="H213" s="75">
        <f t="shared" si="88"/>
        <v>127.6</v>
      </c>
      <c r="I213" s="76">
        <f t="shared" si="89"/>
        <v>165.88</v>
      </c>
      <c r="J213" s="77">
        <f t="shared" si="90"/>
        <v>1161.1599999999999</v>
      </c>
      <c r="K213" s="280" t="s">
        <v>1168</v>
      </c>
      <c r="L213" s="281"/>
      <c r="M213" s="281"/>
    </row>
    <row r="214" spans="1:13" s="12" customFormat="1" outlineLevel="1">
      <c r="A214" s="71" t="s">
        <v>987</v>
      </c>
      <c r="B214" s="78" t="s">
        <v>158</v>
      </c>
      <c r="C214" s="94" t="s">
        <v>755</v>
      </c>
      <c r="D214" s="79" t="s">
        <v>679</v>
      </c>
      <c r="E214" s="74">
        <v>6</v>
      </c>
      <c r="F214" s="75">
        <v>154.72</v>
      </c>
      <c r="G214" s="75">
        <v>0</v>
      </c>
      <c r="H214" s="75">
        <f t="shared" si="88"/>
        <v>154.72</v>
      </c>
      <c r="I214" s="76">
        <f t="shared" si="89"/>
        <v>201.136</v>
      </c>
      <c r="J214" s="77">
        <f t="shared" si="90"/>
        <v>1206.816</v>
      </c>
      <c r="K214" s="280"/>
      <c r="L214" s="281"/>
      <c r="M214" s="281"/>
    </row>
    <row r="215" spans="1:13" s="12" customFormat="1" outlineLevel="1">
      <c r="A215" s="71" t="s">
        <v>988</v>
      </c>
      <c r="B215" s="78" t="s">
        <v>158</v>
      </c>
      <c r="C215" s="94" t="s">
        <v>756</v>
      </c>
      <c r="D215" s="79" t="s">
        <v>679</v>
      </c>
      <c r="E215" s="74">
        <v>6</v>
      </c>
      <c r="F215" s="75">
        <v>209.68</v>
      </c>
      <c r="G215" s="75">
        <v>0</v>
      </c>
      <c r="H215" s="75">
        <f t="shared" si="88"/>
        <v>209.68</v>
      </c>
      <c r="I215" s="76">
        <f t="shared" si="89"/>
        <v>272.584</v>
      </c>
      <c r="J215" s="77">
        <f t="shared" si="90"/>
        <v>1635.5039999999999</v>
      </c>
      <c r="K215" s="280"/>
      <c r="L215" s="281"/>
      <c r="M215" s="281"/>
    </row>
    <row r="216" spans="1:13" s="12" customFormat="1" ht="15" customHeight="1" outlineLevel="1">
      <c r="A216" s="71" t="s">
        <v>989</v>
      </c>
      <c r="B216" s="78" t="s">
        <v>158</v>
      </c>
      <c r="C216" s="94" t="s">
        <v>757</v>
      </c>
      <c r="D216" s="79" t="s">
        <v>679</v>
      </c>
      <c r="E216" s="74">
        <v>1</v>
      </c>
      <c r="F216" s="75">
        <v>269.89999999999998</v>
      </c>
      <c r="G216" s="75">
        <v>0</v>
      </c>
      <c r="H216" s="75">
        <f t="shared" si="88"/>
        <v>269.89999999999998</v>
      </c>
      <c r="I216" s="76">
        <f t="shared" si="89"/>
        <v>350.87</v>
      </c>
      <c r="J216" s="77">
        <f t="shared" si="90"/>
        <v>350.87</v>
      </c>
      <c r="K216" s="280" t="s">
        <v>1168</v>
      </c>
      <c r="L216" s="281"/>
      <c r="M216" s="281"/>
    </row>
    <row r="217" spans="1:13" s="12" customFormat="1" outlineLevel="1">
      <c r="A217" s="71" t="s">
        <v>990</v>
      </c>
      <c r="B217" s="78" t="s">
        <v>158</v>
      </c>
      <c r="C217" s="94" t="s">
        <v>758</v>
      </c>
      <c r="D217" s="79" t="s">
        <v>679</v>
      </c>
      <c r="E217" s="74">
        <v>2</v>
      </c>
      <c r="F217" s="75">
        <v>588.28</v>
      </c>
      <c r="G217" s="75">
        <v>0</v>
      </c>
      <c r="H217" s="75">
        <f t="shared" si="88"/>
        <v>588.28</v>
      </c>
      <c r="I217" s="76">
        <f t="shared" si="89"/>
        <v>764.76400000000001</v>
      </c>
      <c r="J217" s="77">
        <f t="shared" si="90"/>
        <v>1529.528</v>
      </c>
      <c r="K217" s="280"/>
      <c r="L217" s="281"/>
      <c r="M217" s="281"/>
    </row>
    <row r="218" spans="1:13" s="12" customFormat="1" outlineLevel="1">
      <c r="A218" s="108" t="s">
        <v>991</v>
      </c>
      <c r="B218" s="108"/>
      <c r="C218" s="109" t="s">
        <v>768</v>
      </c>
      <c r="D218" s="110"/>
      <c r="E218" s="111"/>
      <c r="F218" s="112"/>
      <c r="G218" s="112"/>
      <c r="H218" s="113"/>
      <c r="I218" s="113"/>
      <c r="J218" s="114"/>
      <c r="K218" s="280"/>
      <c r="L218" s="281"/>
      <c r="M218" s="281"/>
    </row>
    <row r="219" spans="1:13" s="12" customFormat="1" ht="15" customHeight="1" outlineLevel="1">
      <c r="A219" s="71" t="s">
        <v>992</v>
      </c>
      <c r="B219" s="78" t="s">
        <v>158</v>
      </c>
      <c r="C219" s="94" t="s">
        <v>773</v>
      </c>
      <c r="D219" s="79" t="s">
        <v>679</v>
      </c>
      <c r="E219" s="74">
        <v>60</v>
      </c>
      <c r="F219" s="75">
        <v>1.22</v>
      </c>
      <c r="G219" s="75">
        <v>0</v>
      </c>
      <c r="H219" s="75">
        <f t="shared" ref="H219:H223" si="91">F219+G219</f>
        <v>1.22</v>
      </c>
      <c r="I219" s="76">
        <f t="shared" ref="I219:I223" si="92">H219*(1+$J$4)</f>
        <v>1.5860000000000001</v>
      </c>
      <c r="J219" s="77">
        <f t="shared" ref="J219:J223" si="93">E219*I219</f>
        <v>95.160000000000011</v>
      </c>
      <c r="K219" s="280" t="s">
        <v>1168</v>
      </c>
      <c r="L219" s="281"/>
      <c r="M219" s="281"/>
    </row>
    <row r="220" spans="1:13" s="12" customFormat="1" outlineLevel="1">
      <c r="A220" s="71" t="s">
        <v>995</v>
      </c>
      <c r="B220" s="78" t="s">
        <v>158</v>
      </c>
      <c r="C220" s="94" t="s">
        <v>774</v>
      </c>
      <c r="D220" s="79" t="s">
        <v>679</v>
      </c>
      <c r="E220" s="74">
        <v>14</v>
      </c>
      <c r="F220" s="75">
        <v>1.7</v>
      </c>
      <c r="G220" s="75">
        <v>0</v>
      </c>
      <c r="H220" s="75">
        <f t="shared" si="91"/>
        <v>1.7</v>
      </c>
      <c r="I220" s="76">
        <f t="shared" si="92"/>
        <v>2.21</v>
      </c>
      <c r="J220" s="77">
        <f t="shared" si="93"/>
        <v>30.939999999999998</v>
      </c>
      <c r="K220" s="280"/>
      <c r="L220" s="281"/>
      <c r="M220" s="281"/>
    </row>
    <row r="221" spans="1:13" s="12" customFormat="1" outlineLevel="1">
      <c r="A221" s="71" t="s">
        <v>996</v>
      </c>
      <c r="B221" s="78" t="s">
        <v>158</v>
      </c>
      <c r="C221" s="94" t="s">
        <v>775</v>
      </c>
      <c r="D221" s="79" t="s">
        <v>679</v>
      </c>
      <c r="E221" s="74">
        <v>12</v>
      </c>
      <c r="F221" s="75">
        <v>3.02</v>
      </c>
      <c r="G221" s="75">
        <v>0</v>
      </c>
      <c r="H221" s="75">
        <f t="shared" si="91"/>
        <v>3.02</v>
      </c>
      <c r="I221" s="76">
        <f t="shared" si="92"/>
        <v>3.9260000000000002</v>
      </c>
      <c r="J221" s="77">
        <f t="shared" si="93"/>
        <v>47.112000000000002</v>
      </c>
      <c r="K221" s="280"/>
      <c r="L221" s="281"/>
      <c r="M221" s="281"/>
    </row>
    <row r="222" spans="1:13" s="12" customFormat="1" ht="15" customHeight="1" outlineLevel="1">
      <c r="A222" s="71" t="s">
        <v>997</v>
      </c>
      <c r="B222" s="78" t="s">
        <v>158</v>
      </c>
      <c r="C222" s="94" t="s">
        <v>776</v>
      </c>
      <c r="D222" s="79" t="s">
        <v>679</v>
      </c>
      <c r="E222" s="74">
        <v>12</v>
      </c>
      <c r="F222" s="75">
        <v>3</v>
      </c>
      <c r="G222" s="75">
        <v>0</v>
      </c>
      <c r="H222" s="75">
        <f t="shared" si="91"/>
        <v>3</v>
      </c>
      <c r="I222" s="76">
        <f t="shared" si="92"/>
        <v>3.9000000000000004</v>
      </c>
      <c r="J222" s="77">
        <f t="shared" si="93"/>
        <v>46.800000000000004</v>
      </c>
      <c r="K222" s="280" t="s">
        <v>1168</v>
      </c>
      <c r="L222" s="281"/>
      <c r="M222" s="281"/>
    </row>
    <row r="223" spans="1:13" s="12" customFormat="1" outlineLevel="1">
      <c r="A223" s="71" t="s">
        <v>998</v>
      </c>
      <c r="B223" s="78" t="s">
        <v>158</v>
      </c>
      <c r="C223" s="94" t="s">
        <v>777</v>
      </c>
      <c r="D223" s="79" t="s">
        <v>679</v>
      </c>
      <c r="E223" s="74">
        <v>4</v>
      </c>
      <c r="F223" s="75">
        <v>9.1</v>
      </c>
      <c r="G223" s="75">
        <v>0</v>
      </c>
      <c r="H223" s="75">
        <f t="shared" si="91"/>
        <v>9.1</v>
      </c>
      <c r="I223" s="76">
        <f t="shared" si="92"/>
        <v>11.83</v>
      </c>
      <c r="J223" s="77">
        <f t="shared" si="93"/>
        <v>47.32</v>
      </c>
      <c r="K223" s="280"/>
      <c r="L223" s="281"/>
      <c r="M223" s="281"/>
    </row>
    <row r="224" spans="1:13" s="12" customFormat="1" outlineLevel="1">
      <c r="A224" s="108" t="s">
        <v>993</v>
      </c>
      <c r="B224" s="108"/>
      <c r="C224" s="109" t="s">
        <v>767</v>
      </c>
      <c r="D224" s="110"/>
      <c r="E224" s="111"/>
      <c r="F224" s="112"/>
      <c r="G224" s="112"/>
      <c r="H224" s="113"/>
      <c r="I224" s="113"/>
      <c r="J224" s="114"/>
      <c r="K224" s="280"/>
      <c r="L224" s="281"/>
      <c r="M224" s="281"/>
    </row>
    <row r="225" spans="1:13" s="12" customFormat="1" ht="15" customHeight="1" outlineLevel="1">
      <c r="A225" s="71" t="s">
        <v>994</v>
      </c>
      <c r="B225" s="78" t="s">
        <v>158</v>
      </c>
      <c r="C225" s="94" t="s">
        <v>769</v>
      </c>
      <c r="D225" s="79" t="s">
        <v>679</v>
      </c>
      <c r="E225" s="74">
        <v>17</v>
      </c>
      <c r="F225" s="75">
        <v>11.25</v>
      </c>
      <c r="G225" s="75">
        <v>0</v>
      </c>
      <c r="H225" s="75">
        <f t="shared" ref="H225:H228" si="94">F225+G225</f>
        <v>11.25</v>
      </c>
      <c r="I225" s="76">
        <f t="shared" ref="I225:I228" si="95">H225*(1+$J$4)</f>
        <v>14.625</v>
      </c>
      <c r="J225" s="77">
        <f t="shared" ref="J225:J228" si="96">E225*I225</f>
        <v>248.625</v>
      </c>
      <c r="K225" s="280" t="s">
        <v>1168</v>
      </c>
      <c r="L225" s="281"/>
      <c r="M225" s="281"/>
    </row>
    <row r="226" spans="1:13" s="12" customFormat="1" outlineLevel="1">
      <c r="A226" s="71" t="s">
        <v>999</v>
      </c>
      <c r="B226" s="78" t="s">
        <v>158</v>
      </c>
      <c r="C226" s="94" t="s">
        <v>770</v>
      </c>
      <c r="D226" s="79" t="s">
        <v>679</v>
      </c>
      <c r="E226" s="74">
        <v>1</v>
      </c>
      <c r="F226" s="75">
        <v>14.75</v>
      </c>
      <c r="G226" s="75">
        <v>0</v>
      </c>
      <c r="H226" s="75">
        <f t="shared" si="94"/>
        <v>14.75</v>
      </c>
      <c r="I226" s="76">
        <f t="shared" si="95"/>
        <v>19.175000000000001</v>
      </c>
      <c r="J226" s="77">
        <f t="shared" si="96"/>
        <v>19.175000000000001</v>
      </c>
      <c r="K226" s="280"/>
      <c r="L226" s="281"/>
      <c r="M226" s="281"/>
    </row>
    <row r="227" spans="1:13" s="12" customFormat="1" outlineLevel="1">
      <c r="A227" s="71" t="s">
        <v>1000</v>
      </c>
      <c r="B227" s="78" t="s">
        <v>158</v>
      </c>
      <c r="C227" s="94" t="s">
        <v>771</v>
      </c>
      <c r="D227" s="79" t="s">
        <v>679</v>
      </c>
      <c r="E227" s="74">
        <v>2</v>
      </c>
      <c r="F227" s="75">
        <v>242.69</v>
      </c>
      <c r="G227" s="75">
        <v>0</v>
      </c>
      <c r="H227" s="75">
        <f t="shared" si="94"/>
        <v>242.69</v>
      </c>
      <c r="I227" s="76">
        <f t="shared" si="95"/>
        <v>315.49700000000001</v>
      </c>
      <c r="J227" s="77">
        <f t="shared" si="96"/>
        <v>630.99400000000003</v>
      </c>
      <c r="K227" s="280"/>
      <c r="L227" s="281"/>
      <c r="M227" s="281"/>
    </row>
    <row r="228" spans="1:13" s="12" customFormat="1" ht="15" customHeight="1" outlineLevel="1">
      <c r="A228" s="71" t="s">
        <v>1001</v>
      </c>
      <c r="B228" s="78" t="s">
        <v>158</v>
      </c>
      <c r="C228" s="94" t="s">
        <v>772</v>
      </c>
      <c r="D228" s="79" t="s">
        <v>679</v>
      </c>
      <c r="E228" s="74">
        <v>40</v>
      </c>
      <c r="F228" s="75">
        <v>1.5</v>
      </c>
      <c r="G228" s="75">
        <v>0</v>
      </c>
      <c r="H228" s="75">
        <f t="shared" si="94"/>
        <v>1.5</v>
      </c>
      <c r="I228" s="76">
        <f t="shared" si="95"/>
        <v>1.9500000000000002</v>
      </c>
      <c r="J228" s="77">
        <f t="shared" si="96"/>
        <v>78</v>
      </c>
      <c r="K228" s="280" t="s">
        <v>1168</v>
      </c>
      <c r="L228" s="281"/>
      <c r="M228" s="281"/>
    </row>
    <row r="229" spans="1:13" s="12" customFormat="1" outlineLevel="1">
      <c r="A229" s="108" t="s">
        <v>1002</v>
      </c>
      <c r="B229" s="108"/>
      <c r="C229" s="109" t="s">
        <v>788</v>
      </c>
      <c r="D229" s="110"/>
      <c r="E229" s="111"/>
      <c r="F229" s="112"/>
      <c r="G229" s="112"/>
      <c r="H229" s="113"/>
      <c r="I229" s="113"/>
      <c r="J229" s="114"/>
      <c r="K229" s="280"/>
      <c r="L229" s="281"/>
      <c r="M229" s="281"/>
    </row>
    <row r="230" spans="1:13" s="12" customFormat="1" outlineLevel="1">
      <c r="A230" s="71" t="s">
        <v>1003</v>
      </c>
      <c r="B230" s="78" t="s">
        <v>158</v>
      </c>
      <c r="C230" s="94" t="s">
        <v>778</v>
      </c>
      <c r="D230" s="79" t="s">
        <v>679</v>
      </c>
      <c r="E230" s="74">
        <v>20</v>
      </c>
      <c r="F230" s="75">
        <v>75.010000000000005</v>
      </c>
      <c r="G230" s="75">
        <v>0</v>
      </c>
      <c r="H230" s="75">
        <f t="shared" ref="H230:H240" si="97">F230+G230</f>
        <v>75.010000000000005</v>
      </c>
      <c r="I230" s="76">
        <f t="shared" ref="I230:I240" si="98">H230*(1+$J$4)</f>
        <v>97.513000000000005</v>
      </c>
      <c r="J230" s="77">
        <f t="shared" ref="J230:J240" si="99">E230*I230</f>
        <v>1950.2600000000002</v>
      </c>
      <c r="K230" s="280"/>
      <c r="L230" s="281"/>
      <c r="M230" s="281"/>
    </row>
    <row r="231" spans="1:13" s="12" customFormat="1" ht="22.5" customHeight="1" outlineLevel="1">
      <c r="A231" s="71" t="s">
        <v>1004</v>
      </c>
      <c r="B231" s="78" t="s">
        <v>158</v>
      </c>
      <c r="C231" s="94" t="s">
        <v>779</v>
      </c>
      <c r="D231" s="79" t="s">
        <v>679</v>
      </c>
      <c r="E231" s="74">
        <v>6</v>
      </c>
      <c r="F231" s="75">
        <v>31.99</v>
      </c>
      <c r="G231" s="75">
        <v>0</v>
      </c>
      <c r="H231" s="75">
        <f t="shared" si="97"/>
        <v>31.99</v>
      </c>
      <c r="I231" s="76">
        <f t="shared" si="98"/>
        <v>41.586999999999996</v>
      </c>
      <c r="J231" s="77">
        <f t="shared" si="99"/>
        <v>249.52199999999999</v>
      </c>
      <c r="K231" s="280" t="s">
        <v>1168</v>
      </c>
      <c r="L231" s="281"/>
      <c r="M231" s="281"/>
    </row>
    <row r="232" spans="1:13" s="12" customFormat="1" outlineLevel="1">
      <c r="A232" s="71" t="s">
        <v>1005</v>
      </c>
      <c r="B232" s="78" t="s">
        <v>158</v>
      </c>
      <c r="C232" s="94" t="s">
        <v>787</v>
      </c>
      <c r="D232" s="79" t="s">
        <v>679</v>
      </c>
      <c r="E232" s="74">
        <v>18</v>
      </c>
      <c r="F232" s="75">
        <v>89.99</v>
      </c>
      <c r="G232" s="75">
        <v>0</v>
      </c>
      <c r="H232" s="75">
        <f t="shared" si="97"/>
        <v>89.99</v>
      </c>
      <c r="I232" s="76">
        <f t="shared" si="98"/>
        <v>116.98699999999999</v>
      </c>
      <c r="J232" s="77">
        <f t="shared" si="99"/>
        <v>2105.7660000000001</v>
      </c>
      <c r="K232" s="280"/>
      <c r="L232" s="281"/>
      <c r="M232" s="281"/>
    </row>
    <row r="233" spans="1:13" s="12" customFormat="1" outlineLevel="1">
      <c r="A233" s="71" t="s">
        <v>1006</v>
      </c>
      <c r="B233" s="78" t="s">
        <v>158</v>
      </c>
      <c r="C233" s="94" t="s">
        <v>780</v>
      </c>
      <c r="D233" s="79" t="s">
        <v>679</v>
      </c>
      <c r="E233" s="74">
        <v>19</v>
      </c>
      <c r="F233" s="75">
        <v>6.95</v>
      </c>
      <c r="G233" s="75">
        <v>0</v>
      </c>
      <c r="H233" s="75">
        <f t="shared" si="97"/>
        <v>6.95</v>
      </c>
      <c r="I233" s="76">
        <f t="shared" si="98"/>
        <v>9.0350000000000001</v>
      </c>
      <c r="J233" s="77">
        <f t="shared" si="99"/>
        <v>171.66499999999999</v>
      </c>
      <c r="K233" s="280"/>
      <c r="L233" s="281"/>
      <c r="M233" s="281"/>
    </row>
    <row r="234" spans="1:13" s="12" customFormat="1" ht="15" customHeight="1" outlineLevel="1">
      <c r="A234" s="71" t="s">
        <v>1007</v>
      </c>
      <c r="B234" s="78" t="s">
        <v>158</v>
      </c>
      <c r="C234" s="94" t="s">
        <v>781</v>
      </c>
      <c r="D234" s="79" t="s">
        <v>679</v>
      </c>
      <c r="E234" s="74">
        <v>2</v>
      </c>
      <c r="F234" s="75">
        <v>9.1999999999999993</v>
      </c>
      <c r="G234" s="75">
        <v>0</v>
      </c>
      <c r="H234" s="75">
        <f t="shared" si="97"/>
        <v>9.1999999999999993</v>
      </c>
      <c r="I234" s="76">
        <f t="shared" si="98"/>
        <v>11.959999999999999</v>
      </c>
      <c r="J234" s="77">
        <f t="shared" si="99"/>
        <v>23.919999999999998</v>
      </c>
      <c r="K234" s="280" t="s">
        <v>1168</v>
      </c>
      <c r="L234" s="281"/>
      <c r="M234" s="281"/>
    </row>
    <row r="235" spans="1:13" s="12" customFormat="1" outlineLevel="1">
      <c r="A235" s="71" t="s">
        <v>1008</v>
      </c>
      <c r="B235" s="78" t="s">
        <v>158</v>
      </c>
      <c r="C235" s="94" t="s">
        <v>782</v>
      </c>
      <c r="D235" s="79" t="s">
        <v>679</v>
      </c>
      <c r="E235" s="74">
        <v>15</v>
      </c>
      <c r="F235" s="75">
        <v>2.8</v>
      </c>
      <c r="G235" s="75">
        <v>0</v>
      </c>
      <c r="H235" s="75">
        <f t="shared" si="97"/>
        <v>2.8</v>
      </c>
      <c r="I235" s="76">
        <f t="shared" si="98"/>
        <v>3.6399999999999997</v>
      </c>
      <c r="J235" s="77">
        <f t="shared" si="99"/>
        <v>54.599999999999994</v>
      </c>
      <c r="K235" s="280"/>
      <c r="L235" s="281"/>
      <c r="M235" s="281"/>
    </row>
    <row r="236" spans="1:13" s="12" customFormat="1" outlineLevel="1">
      <c r="A236" s="71" t="s">
        <v>1009</v>
      </c>
      <c r="B236" s="78" t="s">
        <v>158</v>
      </c>
      <c r="C236" s="94" t="s">
        <v>783</v>
      </c>
      <c r="D236" s="79" t="s">
        <v>679</v>
      </c>
      <c r="E236" s="74">
        <v>8</v>
      </c>
      <c r="F236" s="75">
        <v>11.59</v>
      </c>
      <c r="G236" s="75">
        <v>0</v>
      </c>
      <c r="H236" s="75">
        <f t="shared" si="97"/>
        <v>11.59</v>
      </c>
      <c r="I236" s="76">
        <f t="shared" si="98"/>
        <v>15.067</v>
      </c>
      <c r="J236" s="77">
        <f t="shared" si="99"/>
        <v>120.536</v>
      </c>
      <c r="K236" s="280"/>
      <c r="L236" s="281"/>
      <c r="M236" s="281"/>
    </row>
    <row r="237" spans="1:13" s="12" customFormat="1" ht="15" customHeight="1" outlineLevel="1">
      <c r="A237" s="71" t="s">
        <v>1010</v>
      </c>
      <c r="B237" s="78" t="s">
        <v>158</v>
      </c>
      <c r="C237" s="94" t="s">
        <v>796</v>
      </c>
      <c r="D237" s="79" t="s">
        <v>679</v>
      </c>
      <c r="E237" s="74">
        <v>90</v>
      </c>
      <c r="F237" s="75">
        <v>2.09</v>
      </c>
      <c r="G237" s="75">
        <v>0</v>
      </c>
      <c r="H237" s="75">
        <f t="shared" si="97"/>
        <v>2.09</v>
      </c>
      <c r="I237" s="76">
        <f t="shared" si="98"/>
        <v>2.7170000000000001</v>
      </c>
      <c r="J237" s="77">
        <f t="shared" si="99"/>
        <v>244.53</v>
      </c>
      <c r="K237" s="280" t="s">
        <v>1168</v>
      </c>
      <c r="L237" s="281"/>
      <c r="M237" s="281"/>
    </row>
    <row r="238" spans="1:13" s="12" customFormat="1" outlineLevel="1">
      <c r="A238" s="71" t="s">
        <v>1011</v>
      </c>
      <c r="B238" s="78" t="s">
        <v>158</v>
      </c>
      <c r="C238" s="94" t="s">
        <v>784</v>
      </c>
      <c r="D238" s="79" t="s">
        <v>679</v>
      </c>
      <c r="E238" s="74">
        <v>75</v>
      </c>
      <c r="F238" s="75">
        <v>3.78</v>
      </c>
      <c r="G238" s="75">
        <v>0</v>
      </c>
      <c r="H238" s="75">
        <f t="shared" si="97"/>
        <v>3.78</v>
      </c>
      <c r="I238" s="76">
        <f t="shared" si="98"/>
        <v>4.9139999999999997</v>
      </c>
      <c r="J238" s="77">
        <f t="shared" si="99"/>
        <v>368.54999999999995</v>
      </c>
      <c r="K238" s="280"/>
      <c r="L238" s="281"/>
      <c r="M238" s="281"/>
    </row>
    <row r="239" spans="1:13" s="12" customFormat="1" outlineLevel="1">
      <c r="A239" s="71" t="s">
        <v>1012</v>
      </c>
      <c r="B239" s="78" t="s">
        <v>158</v>
      </c>
      <c r="C239" s="94" t="s">
        <v>785</v>
      </c>
      <c r="D239" s="79" t="s">
        <v>679</v>
      </c>
      <c r="E239" s="74">
        <v>10</v>
      </c>
      <c r="F239" s="75">
        <v>4.05</v>
      </c>
      <c r="G239" s="75">
        <v>0</v>
      </c>
      <c r="H239" s="75">
        <f t="shared" si="97"/>
        <v>4.05</v>
      </c>
      <c r="I239" s="76">
        <f t="shared" si="98"/>
        <v>5.2649999999999997</v>
      </c>
      <c r="J239" s="77">
        <f t="shared" si="99"/>
        <v>52.65</v>
      </c>
      <c r="K239" s="280"/>
      <c r="L239" s="281"/>
      <c r="M239" s="281"/>
    </row>
    <row r="240" spans="1:13" s="12" customFormat="1" ht="15" customHeight="1" outlineLevel="1">
      <c r="A240" s="71" t="s">
        <v>1013</v>
      </c>
      <c r="B240" s="78" t="s">
        <v>158</v>
      </c>
      <c r="C240" s="94" t="s">
        <v>786</v>
      </c>
      <c r="D240" s="79" t="s">
        <v>679</v>
      </c>
      <c r="E240" s="74">
        <v>8</v>
      </c>
      <c r="F240" s="75">
        <v>6.44</v>
      </c>
      <c r="G240" s="75">
        <v>0</v>
      </c>
      <c r="H240" s="75">
        <f t="shared" si="97"/>
        <v>6.44</v>
      </c>
      <c r="I240" s="76">
        <f t="shared" si="98"/>
        <v>8.3720000000000017</v>
      </c>
      <c r="J240" s="77">
        <f t="shared" si="99"/>
        <v>66.976000000000013</v>
      </c>
      <c r="K240" s="280" t="s">
        <v>1168</v>
      </c>
      <c r="L240" s="281"/>
      <c r="M240" s="281"/>
    </row>
    <row r="241" spans="1:13" s="12" customFormat="1" ht="15" customHeight="1" outlineLevel="1">
      <c r="A241" s="108" t="s">
        <v>1014</v>
      </c>
      <c r="B241" s="108"/>
      <c r="C241" s="109" t="s">
        <v>789</v>
      </c>
      <c r="D241" s="110"/>
      <c r="E241" s="111"/>
      <c r="F241" s="112"/>
      <c r="G241" s="112"/>
      <c r="H241" s="113"/>
      <c r="I241" s="113"/>
      <c r="J241" s="114"/>
      <c r="K241" s="280"/>
      <c r="L241" s="281"/>
      <c r="M241" s="281"/>
    </row>
    <row r="242" spans="1:13" s="12" customFormat="1" outlineLevel="1">
      <c r="A242" s="71" t="s">
        <v>1015</v>
      </c>
      <c r="B242" s="78" t="s">
        <v>158</v>
      </c>
      <c r="C242" s="94" t="s">
        <v>792</v>
      </c>
      <c r="D242" s="79" t="s">
        <v>679</v>
      </c>
      <c r="E242" s="74">
        <v>200</v>
      </c>
      <c r="F242" s="75">
        <v>0.39</v>
      </c>
      <c r="G242" s="75">
        <v>0</v>
      </c>
      <c r="H242" s="75">
        <f t="shared" ref="H242:H249" si="100">F242+G242</f>
        <v>0.39</v>
      </c>
      <c r="I242" s="76">
        <f t="shared" ref="I242:I249" si="101">H242*(1+$J$4)</f>
        <v>0.50700000000000001</v>
      </c>
      <c r="J242" s="77">
        <f t="shared" ref="J242:J249" si="102">E242*I242</f>
        <v>101.4</v>
      </c>
      <c r="K242" s="280"/>
      <c r="L242" s="281"/>
      <c r="M242" s="281"/>
    </row>
    <row r="243" spans="1:13" s="12" customFormat="1" ht="15" customHeight="1" outlineLevel="1">
      <c r="A243" s="71" t="s">
        <v>1016</v>
      </c>
      <c r="B243" s="78" t="s">
        <v>158</v>
      </c>
      <c r="C243" s="94" t="s">
        <v>791</v>
      </c>
      <c r="D243" s="79" t="s">
        <v>679</v>
      </c>
      <c r="E243" s="74">
        <v>150</v>
      </c>
      <c r="F243" s="75">
        <v>0.12</v>
      </c>
      <c r="G243" s="75">
        <v>0</v>
      </c>
      <c r="H243" s="75">
        <f t="shared" si="100"/>
        <v>0.12</v>
      </c>
      <c r="I243" s="76">
        <f t="shared" si="101"/>
        <v>0.156</v>
      </c>
      <c r="J243" s="77">
        <f t="shared" si="102"/>
        <v>23.4</v>
      </c>
      <c r="K243" s="280" t="s">
        <v>1168</v>
      </c>
      <c r="L243" s="281"/>
      <c r="M243" s="281"/>
    </row>
    <row r="244" spans="1:13" s="12" customFormat="1" ht="15" customHeight="1" outlineLevel="1">
      <c r="A244" s="71" t="s">
        <v>1017</v>
      </c>
      <c r="B244" s="78" t="s">
        <v>158</v>
      </c>
      <c r="C244" s="94" t="s">
        <v>790</v>
      </c>
      <c r="D244" s="79" t="s">
        <v>679</v>
      </c>
      <c r="E244" s="74">
        <v>200</v>
      </c>
      <c r="F244" s="75">
        <v>0.43</v>
      </c>
      <c r="G244" s="75">
        <v>0</v>
      </c>
      <c r="H244" s="75">
        <f t="shared" si="100"/>
        <v>0.43</v>
      </c>
      <c r="I244" s="76">
        <f t="shared" si="101"/>
        <v>0.55900000000000005</v>
      </c>
      <c r="J244" s="77">
        <f t="shared" si="102"/>
        <v>111.80000000000001</v>
      </c>
      <c r="K244" s="280"/>
      <c r="L244" s="281"/>
      <c r="M244" s="281"/>
    </row>
    <row r="245" spans="1:13" s="12" customFormat="1" outlineLevel="1">
      <c r="A245" s="71" t="s">
        <v>1018</v>
      </c>
      <c r="B245" s="78" t="s">
        <v>158</v>
      </c>
      <c r="C245" s="94" t="s">
        <v>793</v>
      </c>
      <c r="D245" s="79" t="s">
        <v>679</v>
      </c>
      <c r="E245" s="74">
        <v>150</v>
      </c>
      <c r="F245" s="75">
        <v>0.16</v>
      </c>
      <c r="G245" s="75">
        <v>0</v>
      </c>
      <c r="H245" s="75">
        <f t="shared" si="100"/>
        <v>0.16</v>
      </c>
      <c r="I245" s="76">
        <f t="shared" si="101"/>
        <v>0.20800000000000002</v>
      </c>
      <c r="J245" s="77">
        <f t="shared" si="102"/>
        <v>31.200000000000003</v>
      </c>
      <c r="K245" s="280"/>
      <c r="L245" s="281"/>
      <c r="M245" s="281"/>
    </row>
    <row r="246" spans="1:13" s="12" customFormat="1" ht="15" customHeight="1" outlineLevel="1">
      <c r="A246" s="71" t="s">
        <v>1019</v>
      </c>
      <c r="B246" s="78" t="s">
        <v>158</v>
      </c>
      <c r="C246" s="94" t="s">
        <v>795</v>
      </c>
      <c r="D246" s="79" t="s">
        <v>679</v>
      </c>
      <c r="E246" s="74">
        <v>200</v>
      </c>
      <c r="F246" s="75">
        <v>1.52</v>
      </c>
      <c r="G246" s="75">
        <v>0</v>
      </c>
      <c r="H246" s="75">
        <f t="shared" si="100"/>
        <v>1.52</v>
      </c>
      <c r="I246" s="76">
        <f t="shared" si="101"/>
        <v>1.9760000000000002</v>
      </c>
      <c r="J246" s="77">
        <f t="shared" si="102"/>
        <v>395.20000000000005</v>
      </c>
      <c r="K246" s="280" t="s">
        <v>1168</v>
      </c>
      <c r="L246" s="281"/>
      <c r="M246" s="281"/>
    </row>
    <row r="247" spans="1:13" s="12" customFormat="1" outlineLevel="1">
      <c r="A247" s="71" t="s">
        <v>1020</v>
      </c>
      <c r="B247" s="78" t="s">
        <v>158</v>
      </c>
      <c r="C247" s="94" t="s">
        <v>794</v>
      </c>
      <c r="D247" s="79" t="s">
        <v>679</v>
      </c>
      <c r="E247" s="74">
        <v>150</v>
      </c>
      <c r="F247" s="75">
        <v>3.32</v>
      </c>
      <c r="G247" s="75">
        <v>0</v>
      </c>
      <c r="H247" s="75">
        <f t="shared" si="100"/>
        <v>3.32</v>
      </c>
      <c r="I247" s="76">
        <f t="shared" si="101"/>
        <v>4.3159999999999998</v>
      </c>
      <c r="J247" s="77">
        <f t="shared" si="102"/>
        <v>647.4</v>
      </c>
      <c r="K247" s="280"/>
      <c r="L247" s="281"/>
      <c r="M247" s="281"/>
    </row>
    <row r="248" spans="1:13" s="12" customFormat="1" outlineLevel="1">
      <c r="A248" s="71" t="s">
        <v>1021</v>
      </c>
      <c r="B248" s="78" t="s">
        <v>158</v>
      </c>
      <c r="C248" s="94" t="s">
        <v>797</v>
      </c>
      <c r="D248" s="79" t="s">
        <v>679</v>
      </c>
      <c r="E248" s="74">
        <v>21</v>
      </c>
      <c r="F248" s="75">
        <v>17.95</v>
      </c>
      <c r="G248" s="75">
        <v>0</v>
      </c>
      <c r="H248" s="75">
        <f t="shared" si="100"/>
        <v>17.95</v>
      </c>
      <c r="I248" s="76">
        <f t="shared" si="101"/>
        <v>23.335000000000001</v>
      </c>
      <c r="J248" s="77">
        <f t="shared" si="102"/>
        <v>490.03500000000003</v>
      </c>
      <c r="K248" s="280"/>
      <c r="L248" s="281"/>
      <c r="M248" s="281"/>
    </row>
    <row r="249" spans="1:13" s="12" customFormat="1" ht="15" customHeight="1" outlineLevel="1">
      <c r="A249" s="71" t="s">
        <v>1022</v>
      </c>
      <c r="B249" s="78" t="s">
        <v>158</v>
      </c>
      <c r="C249" s="94" t="s">
        <v>798</v>
      </c>
      <c r="D249" s="79" t="s">
        <v>679</v>
      </c>
      <c r="E249" s="74">
        <v>24</v>
      </c>
      <c r="F249" s="75">
        <v>29.99</v>
      </c>
      <c r="G249" s="75">
        <v>0</v>
      </c>
      <c r="H249" s="75">
        <f t="shared" si="100"/>
        <v>29.99</v>
      </c>
      <c r="I249" s="76">
        <f t="shared" si="101"/>
        <v>38.987000000000002</v>
      </c>
      <c r="J249" s="77">
        <f t="shared" si="102"/>
        <v>935.6880000000001</v>
      </c>
      <c r="K249" s="280" t="s">
        <v>1168</v>
      </c>
      <c r="L249" s="281"/>
      <c r="M249" s="281"/>
    </row>
    <row r="250" spans="1:13" s="12" customFormat="1" outlineLevel="1">
      <c r="A250" s="108" t="s">
        <v>1023</v>
      </c>
      <c r="B250" s="108"/>
      <c r="C250" s="109" t="s">
        <v>684</v>
      </c>
      <c r="D250" s="110"/>
      <c r="E250" s="111"/>
      <c r="F250" s="112"/>
      <c r="G250" s="112"/>
      <c r="H250" s="113"/>
      <c r="I250" s="113"/>
      <c r="J250" s="114"/>
      <c r="K250" s="280"/>
      <c r="L250" s="281"/>
      <c r="M250" s="281"/>
    </row>
    <row r="251" spans="1:13" s="12" customFormat="1" ht="22.5" outlineLevel="1">
      <c r="A251" s="71" t="s">
        <v>1024</v>
      </c>
      <c r="B251" s="78" t="s">
        <v>158</v>
      </c>
      <c r="C251" s="94" t="s">
        <v>822</v>
      </c>
      <c r="D251" s="79" t="s">
        <v>679</v>
      </c>
      <c r="E251" s="74">
        <v>1</v>
      </c>
      <c r="F251" s="75">
        <v>1199.1199999999999</v>
      </c>
      <c r="G251" s="75">
        <v>0</v>
      </c>
      <c r="H251" s="75">
        <f t="shared" ref="H251:H289" si="103">F251+G251</f>
        <v>1199.1199999999999</v>
      </c>
      <c r="I251" s="76">
        <f t="shared" ref="I251:I289" si="104">H251*(1+$J$4)</f>
        <v>1558.856</v>
      </c>
      <c r="J251" s="77">
        <f t="shared" ref="J251:J289" si="105">E251*I251</f>
        <v>1558.856</v>
      </c>
      <c r="K251" s="280"/>
      <c r="L251" s="281"/>
      <c r="M251" s="281"/>
    </row>
    <row r="252" spans="1:13" s="12" customFormat="1" ht="15" customHeight="1" outlineLevel="1">
      <c r="A252" s="71" t="s">
        <v>1025</v>
      </c>
      <c r="B252" s="78" t="s">
        <v>158</v>
      </c>
      <c r="C252" s="94" t="s">
        <v>809</v>
      </c>
      <c r="D252" s="79" t="s">
        <v>679</v>
      </c>
      <c r="E252" s="74">
        <v>1</v>
      </c>
      <c r="F252" s="75">
        <v>137.75</v>
      </c>
      <c r="G252" s="75">
        <v>0</v>
      </c>
      <c r="H252" s="75">
        <f t="shared" si="103"/>
        <v>137.75</v>
      </c>
      <c r="I252" s="76">
        <f t="shared" si="104"/>
        <v>179.07500000000002</v>
      </c>
      <c r="J252" s="77">
        <f t="shared" si="105"/>
        <v>179.07500000000002</v>
      </c>
      <c r="K252" s="280" t="s">
        <v>1168</v>
      </c>
      <c r="L252" s="281"/>
      <c r="M252" s="281"/>
    </row>
    <row r="253" spans="1:13" s="12" customFormat="1" outlineLevel="1">
      <c r="A253" s="71" t="s">
        <v>1026</v>
      </c>
      <c r="B253" s="78" t="s">
        <v>158</v>
      </c>
      <c r="C253" s="94" t="s">
        <v>808</v>
      </c>
      <c r="D253" s="79" t="s">
        <v>679</v>
      </c>
      <c r="E253" s="74">
        <v>1</v>
      </c>
      <c r="F253" s="75">
        <v>25.74</v>
      </c>
      <c r="G253" s="75">
        <v>0</v>
      </c>
      <c r="H253" s="75">
        <f t="shared" si="103"/>
        <v>25.74</v>
      </c>
      <c r="I253" s="76">
        <f t="shared" si="104"/>
        <v>33.461999999999996</v>
      </c>
      <c r="J253" s="77">
        <f t="shared" si="105"/>
        <v>33.461999999999996</v>
      </c>
      <c r="K253" s="280"/>
      <c r="L253" s="281"/>
      <c r="M253" s="281"/>
    </row>
    <row r="254" spans="1:13" s="12" customFormat="1" outlineLevel="1">
      <c r="A254" s="71" t="s">
        <v>1027</v>
      </c>
      <c r="B254" s="78" t="s">
        <v>158</v>
      </c>
      <c r="C254" s="94" t="s">
        <v>810</v>
      </c>
      <c r="D254" s="79" t="s">
        <v>679</v>
      </c>
      <c r="E254" s="74">
        <v>4</v>
      </c>
      <c r="F254" s="75">
        <v>49.99</v>
      </c>
      <c r="G254" s="75">
        <v>0</v>
      </c>
      <c r="H254" s="75">
        <f t="shared" si="103"/>
        <v>49.99</v>
      </c>
      <c r="I254" s="76">
        <f t="shared" si="104"/>
        <v>64.987000000000009</v>
      </c>
      <c r="J254" s="77">
        <f t="shared" si="105"/>
        <v>259.94800000000004</v>
      </c>
      <c r="K254" s="280"/>
      <c r="L254" s="281"/>
      <c r="M254" s="281"/>
    </row>
    <row r="255" spans="1:13" s="12" customFormat="1" ht="15" customHeight="1" outlineLevel="1">
      <c r="A255" s="71" t="s">
        <v>1028</v>
      </c>
      <c r="B255" s="78" t="s">
        <v>158</v>
      </c>
      <c r="C255" s="94" t="s">
        <v>811</v>
      </c>
      <c r="D255" s="79" t="s">
        <v>679</v>
      </c>
      <c r="E255" s="74">
        <v>1</v>
      </c>
      <c r="F255" s="75">
        <v>259.77999999999997</v>
      </c>
      <c r="G255" s="75">
        <v>0</v>
      </c>
      <c r="H255" s="75">
        <f t="shared" si="103"/>
        <v>259.77999999999997</v>
      </c>
      <c r="I255" s="76">
        <f t="shared" si="104"/>
        <v>337.714</v>
      </c>
      <c r="J255" s="77">
        <f t="shared" si="105"/>
        <v>337.714</v>
      </c>
      <c r="K255" s="280" t="s">
        <v>1168</v>
      </c>
      <c r="L255" s="281"/>
      <c r="M255" s="281"/>
    </row>
    <row r="256" spans="1:13" s="12" customFormat="1" outlineLevel="1">
      <c r="A256" s="71" t="s">
        <v>1029</v>
      </c>
      <c r="B256" s="78" t="s">
        <v>158</v>
      </c>
      <c r="C256" s="94" t="s">
        <v>817</v>
      </c>
      <c r="D256" s="79" t="s">
        <v>679</v>
      </c>
      <c r="E256" s="74">
        <v>10</v>
      </c>
      <c r="F256" s="75">
        <v>12.43</v>
      </c>
      <c r="G256" s="75">
        <v>0</v>
      </c>
      <c r="H256" s="75">
        <f t="shared" si="103"/>
        <v>12.43</v>
      </c>
      <c r="I256" s="76">
        <f t="shared" si="104"/>
        <v>16.158999999999999</v>
      </c>
      <c r="J256" s="77">
        <f t="shared" si="105"/>
        <v>161.58999999999997</v>
      </c>
      <c r="K256" s="280"/>
      <c r="L256" s="281"/>
      <c r="M256" s="281"/>
    </row>
    <row r="257" spans="1:13" s="12" customFormat="1" outlineLevel="1">
      <c r="A257" s="71" t="s">
        <v>1030</v>
      </c>
      <c r="B257" s="78" t="s">
        <v>158</v>
      </c>
      <c r="C257" s="94" t="s">
        <v>818</v>
      </c>
      <c r="D257" s="79" t="s">
        <v>679</v>
      </c>
      <c r="E257" s="74">
        <v>6</v>
      </c>
      <c r="F257" s="75">
        <v>12.43</v>
      </c>
      <c r="G257" s="75">
        <v>0</v>
      </c>
      <c r="H257" s="75">
        <f t="shared" si="103"/>
        <v>12.43</v>
      </c>
      <c r="I257" s="76">
        <f t="shared" si="104"/>
        <v>16.158999999999999</v>
      </c>
      <c r="J257" s="77">
        <f t="shared" si="105"/>
        <v>96.953999999999994</v>
      </c>
      <c r="K257" s="280"/>
      <c r="L257" s="281"/>
      <c r="M257" s="281"/>
    </row>
    <row r="258" spans="1:13" s="12" customFormat="1" ht="15" customHeight="1" outlineLevel="1">
      <c r="A258" s="71" t="s">
        <v>1031</v>
      </c>
      <c r="B258" s="78" t="s">
        <v>158</v>
      </c>
      <c r="C258" s="94" t="s">
        <v>819</v>
      </c>
      <c r="D258" s="79" t="s">
        <v>679</v>
      </c>
      <c r="E258" s="74">
        <v>4</v>
      </c>
      <c r="F258" s="75">
        <v>12.43</v>
      </c>
      <c r="G258" s="75">
        <v>0</v>
      </c>
      <c r="H258" s="75">
        <f t="shared" si="103"/>
        <v>12.43</v>
      </c>
      <c r="I258" s="76">
        <f t="shared" si="104"/>
        <v>16.158999999999999</v>
      </c>
      <c r="J258" s="77">
        <f t="shared" si="105"/>
        <v>64.635999999999996</v>
      </c>
      <c r="K258" s="280" t="s">
        <v>1168</v>
      </c>
      <c r="L258" s="281"/>
      <c r="M258" s="281"/>
    </row>
    <row r="259" spans="1:13" s="12" customFormat="1" outlineLevel="1">
      <c r="A259" s="71" t="s">
        <v>1032</v>
      </c>
      <c r="B259" s="78" t="s">
        <v>158</v>
      </c>
      <c r="C259" s="94" t="s">
        <v>815</v>
      </c>
      <c r="D259" s="79" t="s">
        <v>679</v>
      </c>
      <c r="E259" s="74">
        <v>7</v>
      </c>
      <c r="F259" s="75">
        <v>39.97</v>
      </c>
      <c r="G259" s="75">
        <v>0</v>
      </c>
      <c r="H259" s="75">
        <f t="shared" si="103"/>
        <v>39.97</v>
      </c>
      <c r="I259" s="76">
        <f t="shared" si="104"/>
        <v>51.960999999999999</v>
      </c>
      <c r="J259" s="77">
        <f t="shared" si="105"/>
        <v>363.72699999999998</v>
      </c>
      <c r="K259" s="280"/>
      <c r="L259" s="281"/>
      <c r="M259" s="281"/>
    </row>
    <row r="260" spans="1:13" s="12" customFormat="1" outlineLevel="1">
      <c r="A260" s="71" t="s">
        <v>1033</v>
      </c>
      <c r="B260" s="78" t="s">
        <v>158</v>
      </c>
      <c r="C260" s="94" t="s">
        <v>816</v>
      </c>
      <c r="D260" s="79" t="s">
        <v>679</v>
      </c>
      <c r="E260" s="74">
        <v>4</v>
      </c>
      <c r="F260" s="75">
        <v>39.97</v>
      </c>
      <c r="G260" s="75">
        <v>0</v>
      </c>
      <c r="H260" s="75">
        <f t="shared" si="103"/>
        <v>39.97</v>
      </c>
      <c r="I260" s="76">
        <f t="shared" si="104"/>
        <v>51.960999999999999</v>
      </c>
      <c r="J260" s="77">
        <f t="shared" si="105"/>
        <v>207.84399999999999</v>
      </c>
      <c r="K260" s="280"/>
      <c r="L260" s="281"/>
      <c r="M260" s="281"/>
    </row>
    <row r="261" spans="1:13" s="12" customFormat="1" ht="22.5" customHeight="1" outlineLevel="1">
      <c r="A261" s="71" t="s">
        <v>1034</v>
      </c>
      <c r="B261" s="78" t="s">
        <v>158</v>
      </c>
      <c r="C261" s="94" t="s">
        <v>821</v>
      </c>
      <c r="D261" s="79" t="s">
        <v>679</v>
      </c>
      <c r="E261" s="74">
        <v>1</v>
      </c>
      <c r="F261" s="75">
        <v>765.43</v>
      </c>
      <c r="G261" s="75">
        <v>0</v>
      </c>
      <c r="H261" s="75">
        <f t="shared" si="103"/>
        <v>765.43</v>
      </c>
      <c r="I261" s="76">
        <f t="shared" si="104"/>
        <v>995.05899999999997</v>
      </c>
      <c r="J261" s="77">
        <f t="shared" si="105"/>
        <v>995.05899999999997</v>
      </c>
      <c r="K261" s="280" t="s">
        <v>1168</v>
      </c>
      <c r="L261" s="281"/>
      <c r="M261" s="281"/>
    </row>
    <row r="262" spans="1:13" s="12" customFormat="1" outlineLevel="1">
      <c r="A262" s="71" t="s">
        <v>1035</v>
      </c>
      <c r="B262" s="78" t="s">
        <v>158</v>
      </c>
      <c r="C262" s="94" t="s">
        <v>812</v>
      </c>
      <c r="D262" s="79" t="s">
        <v>679</v>
      </c>
      <c r="E262" s="74">
        <v>1</v>
      </c>
      <c r="F262" s="75">
        <v>78.599999999999994</v>
      </c>
      <c r="G262" s="75">
        <v>0</v>
      </c>
      <c r="H262" s="75">
        <f t="shared" si="103"/>
        <v>78.599999999999994</v>
      </c>
      <c r="I262" s="76">
        <f t="shared" si="104"/>
        <v>102.17999999999999</v>
      </c>
      <c r="J262" s="77">
        <f t="shared" si="105"/>
        <v>102.17999999999999</v>
      </c>
      <c r="K262" s="280"/>
      <c r="L262" s="281"/>
      <c r="M262" s="281"/>
    </row>
    <row r="263" spans="1:13" s="12" customFormat="1" outlineLevel="1">
      <c r="A263" s="71" t="s">
        <v>1036</v>
      </c>
      <c r="B263" s="78" t="s">
        <v>158</v>
      </c>
      <c r="C263" s="94" t="s">
        <v>808</v>
      </c>
      <c r="D263" s="79" t="s">
        <v>679</v>
      </c>
      <c r="E263" s="74">
        <v>1</v>
      </c>
      <c r="F263" s="75">
        <v>25.74</v>
      </c>
      <c r="G263" s="75">
        <v>0</v>
      </c>
      <c r="H263" s="75">
        <f t="shared" si="103"/>
        <v>25.74</v>
      </c>
      <c r="I263" s="76">
        <f t="shared" si="104"/>
        <v>33.461999999999996</v>
      </c>
      <c r="J263" s="77">
        <f t="shared" si="105"/>
        <v>33.461999999999996</v>
      </c>
      <c r="K263" s="280"/>
      <c r="L263" s="281"/>
      <c r="M263" s="281"/>
    </row>
    <row r="264" spans="1:13" s="12" customFormat="1" outlineLevel="1">
      <c r="A264" s="71" t="s">
        <v>1037</v>
      </c>
      <c r="B264" s="78" t="s">
        <v>158</v>
      </c>
      <c r="C264" s="94" t="s">
        <v>810</v>
      </c>
      <c r="D264" s="79" t="s">
        <v>679</v>
      </c>
      <c r="E264" s="74">
        <v>4</v>
      </c>
      <c r="F264" s="75">
        <v>49.99</v>
      </c>
      <c r="G264" s="75">
        <v>0</v>
      </c>
      <c r="H264" s="75">
        <f t="shared" si="103"/>
        <v>49.99</v>
      </c>
      <c r="I264" s="76">
        <f t="shared" si="104"/>
        <v>64.987000000000009</v>
      </c>
      <c r="J264" s="77">
        <f t="shared" si="105"/>
        <v>259.94800000000004</v>
      </c>
      <c r="K264" s="280" t="s">
        <v>1168</v>
      </c>
      <c r="L264" s="281"/>
      <c r="M264" s="281"/>
    </row>
    <row r="265" spans="1:13" s="12" customFormat="1" outlineLevel="1">
      <c r="A265" s="71" t="s">
        <v>1038</v>
      </c>
      <c r="B265" s="78" t="s">
        <v>158</v>
      </c>
      <c r="C265" s="94" t="s">
        <v>811</v>
      </c>
      <c r="D265" s="79" t="s">
        <v>679</v>
      </c>
      <c r="E265" s="74">
        <v>1</v>
      </c>
      <c r="F265" s="75">
        <v>259.77999999999997</v>
      </c>
      <c r="G265" s="75">
        <v>0</v>
      </c>
      <c r="H265" s="75">
        <f t="shared" si="103"/>
        <v>259.77999999999997</v>
      </c>
      <c r="I265" s="76">
        <f t="shared" si="104"/>
        <v>337.714</v>
      </c>
      <c r="J265" s="77">
        <f t="shared" si="105"/>
        <v>337.714</v>
      </c>
      <c r="K265" s="280"/>
      <c r="L265" s="281"/>
      <c r="M265" s="281"/>
    </row>
    <row r="266" spans="1:13" s="12" customFormat="1" outlineLevel="1">
      <c r="A266" s="71" t="s">
        <v>1039</v>
      </c>
      <c r="B266" s="78" t="s">
        <v>158</v>
      </c>
      <c r="C266" s="94" t="s">
        <v>817</v>
      </c>
      <c r="D266" s="79" t="s">
        <v>679</v>
      </c>
      <c r="E266" s="74">
        <v>1</v>
      </c>
      <c r="F266" s="75">
        <v>12.43</v>
      </c>
      <c r="G266" s="75">
        <v>0</v>
      </c>
      <c r="H266" s="75">
        <f t="shared" si="103"/>
        <v>12.43</v>
      </c>
      <c r="I266" s="76">
        <f t="shared" si="104"/>
        <v>16.158999999999999</v>
      </c>
      <c r="J266" s="77">
        <f t="shared" si="105"/>
        <v>16.158999999999999</v>
      </c>
      <c r="K266" s="280"/>
      <c r="L266" s="281"/>
      <c r="M266" s="281"/>
    </row>
    <row r="267" spans="1:13" s="12" customFormat="1" outlineLevel="1">
      <c r="A267" s="71" t="s">
        <v>1040</v>
      </c>
      <c r="B267" s="78" t="s">
        <v>158</v>
      </c>
      <c r="C267" s="94" t="s">
        <v>818</v>
      </c>
      <c r="D267" s="79" t="s">
        <v>679</v>
      </c>
      <c r="E267" s="74">
        <v>1</v>
      </c>
      <c r="F267" s="75">
        <v>12.43</v>
      </c>
      <c r="G267" s="75">
        <v>0</v>
      </c>
      <c r="H267" s="75">
        <f t="shared" si="103"/>
        <v>12.43</v>
      </c>
      <c r="I267" s="76">
        <f t="shared" si="104"/>
        <v>16.158999999999999</v>
      </c>
      <c r="J267" s="77">
        <f t="shared" si="105"/>
        <v>16.158999999999999</v>
      </c>
      <c r="K267" s="280" t="s">
        <v>1168</v>
      </c>
      <c r="L267" s="281"/>
      <c r="M267" s="281"/>
    </row>
    <row r="268" spans="1:13" s="12" customFormat="1" outlineLevel="1">
      <c r="A268" s="71" t="s">
        <v>1041</v>
      </c>
      <c r="B268" s="78" t="s">
        <v>158</v>
      </c>
      <c r="C268" s="94" t="s">
        <v>815</v>
      </c>
      <c r="D268" s="79" t="s">
        <v>679</v>
      </c>
      <c r="E268" s="74">
        <v>8</v>
      </c>
      <c r="F268" s="75">
        <v>39.97</v>
      </c>
      <c r="G268" s="75">
        <v>0</v>
      </c>
      <c r="H268" s="75">
        <f t="shared" si="103"/>
        <v>39.97</v>
      </c>
      <c r="I268" s="76">
        <f t="shared" si="104"/>
        <v>51.960999999999999</v>
      </c>
      <c r="J268" s="77">
        <f t="shared" si="105"/>
        <v>415.68799999999999</v>
      </c>
      <c r="K268" s="280"/>
      <c r="L268" s="281"/>
      <c r="M268" s="281"/>
    </row>
    <row r="269" spans="1:13" s="12" customFormat="1" ht="22.5" outlineLevel="1">
      <c r="A269" s="71" t="s">
        <v>1042</v>
      </c>
      <c r="B269" s="78" t="s">
        <v>158</v>
      </c>
      <c r="C269" s="94" t="s">
        <v>823</v>
      </c>
      <c r="D269" s="79" t="s">
        <v>679</v>
      </c>
      <c r="E269" s="74">
        <v>1</v>
      </c>
      <c r="F269" s="75">
        <v>982.27</v>
      </c>
      <c r="G269" s="75">
        <v>0</v>
      </c>
      <c r="H269" s="75">
        <f t="shared" si="103"/>
        <v>982.27</v>
      </c>
      <c r="I269" s="76">
        <f t="shared" si="104"/>
        <v>1276.951</v>
      </c>
      <c r="J269" s="77">
        <f t="shared" si="105"/>
        <v>1276.951</v>
      </c>
      <c r="K269" s="280"/>
      <c r="L269" s="281"/>
      <c r="M269" s="281"/>
    </row>
    <row r="270" spans="1:13" s="12" customFormat="1" outlineLevel="1">
      <c r="A270" s="71" t="s">
        <v>1043</v>
      </c>
      <c r="B270" s="78" t="s">
        <v>158</v>
      </c>
      <c r="C270" s="94" t="s">
        <v>809</v>
      </c>
      <c r="D270" s="79" t="s">
        <v>679</v>
      </c>
      <c r="E270" s="74">
        <v>1</v>
      </c>
      <c r="F270" s="75">
        <v>137.75</v>
      </c>
      <c r="G270" s="75">
        <v>0</v>
      </c>
      <c r="H270" s="75">
        <f t="shared" si="103"/>
        <v>137.75</v>
      </c>
      <c r="I270" s="76">
        <f t="shared" si="104"/>
        <v>179.07500000000002</v>
      </c>
      <c r="J270" s="77">
        <f t="shared" si="105"/>
        <v>179.07500000000002</v>
      </c>
      <c r="K270" s="280" t="s">
        <v>1168</v>
      </c>
      <c r="L270" s="281"/>
      <c r="M270" s="281"/>
    </row>
    <row r="271" spans="1:13" s="12" customFormat="1" outlineLevel="1">
      <c r="A271" s="71" t="s">
        <v>1044</v>
      </c>
      <c r="B271" s="78" t="s">
        <v>158</v>
      </c>
      <c r="C271" s="94" t="s">
        <v>808</v>
      </c>
      <c r="D271" s="79" t="s">
        <v>679</v>
      </c>
      <c r="E271" s="74">
        <v>1</v>
      </c>
      <c r="F271" s="75">
        <v>25.74</v>
      </c>
      <c r="G271" s="75">
        <v>0</v>
      </c>
      <c r="H271" s="75">
        <f t="shared" si="103"/>
        <v>25.74</v>
      </c>
      <c r="I271" s="76">
        <f t="shared" si="104"/>
        <v>33.461999999999996</v>
      </c>
      <c r="J271" s="77">
        <f t="shared" si="105"/>
        <v>33.461999999999996</v>
      </c>
      <c r="K271" s="280"/>
      <c r="L271" s="281"/>
      <c r="M271" s="281"/>
    </row>
    <row r="272" spans="1:13" s="12" customFormat="1" outlineLevel="1">
      <c r="A272" s="71" t="s">
        <v>1045</v>
      </c>
      <c r="B272" s="78" t="s">
        <v>158</v>
      </c>
      <c r="C272" s="94" t="s">
        <v>810</v>
      </c>
      <c r="D272" s="79" t="s">
        <v>679</v>
      </c>
      <c r="E272" s="74">
        <v>4</v>
      </c>
      <c r="F272" s="75">
        <v>49.99</v>
      </c>
      <c r="G272" s="75">
        <v>0</v>
      </c>
      <c r="H272" s="75">
        <f t="shared" si="103"/>
        <v>49.99</v>
      </c>
      <c r="I272" s="76">
        <f t="shared" si="104"/>
        <v>64.987000000000009</v>
      </c>
      <c r="J272" s="77">
        <f t="shared" si="105"/>
        <v>259.94800000000004</v>
      </c>
      <c r="K272" s="280"/>
      <c r="L272" s="281"/>
      <c r="M272" s="281"/>
    </row>
    <row r="273" spans="1:13" s="12" customFormat="1" outlineLevel="1">
      <c r="A273" s="71" t="s">
        <v>1046</v>
      </c>
      <c r="B273" s="78" t="s">
        <v>158</v>
      </c>
      <c r="C273" s="94" t="s">
        <v>811</v>
      </c>
      <c r="D273" s="79" t="s">
        <v>679</v>
      </c>
      <c r="E273" s="74">
        <v>1</v>
      </c>
      <c r="F273" s="75">
        <v>259.77999999999997</v>
      </c>
      <c r="G273" s="75">
        <v>0</v>
      </c>
      <c r="H273" s="75">
        <f t="shared" si="103"/>
        <v>259.77999999999997</v>
      </c>
      <c r="I273" s="76">
        <f t="shared" si="104"/>
        <v>337.714</v>
      </c>
      <c r="J273" s="77">
        <f t="shared" si="105"/>
        <v>337.714</v>
      </c>
      <c r="K273" s="280" t="s">
        <v>1168</v>
      </c>
      <c r="L273" s="281"/>
      <c r="M273" s="281"/>
    </row>
    <row r="274" spans="1:13" s="12" customFormat="1" outlineLevel="1">
      <c r="A274" s="71" t="s">
        <v>1047</v>
      </c>
      <c r="B274" s="78" t="s">
        <v>158</v>
      </c>
      <c r="C274" s="94" t="s">
        <v>817</v>
      </c>
      <c r="D274" s="79" t="s">
        <v>679</v>
      </c>
      <c r="E274" s="74">
        <v>3</v>
      </c>
      <c r="F274" s="75">
        <v>12.43</v>
      </c>
      <c r="G274" s="75">
        <v>0</v>
      </c>
      <c r="H274" s="75">
        <f t="shared" si="103"/>
        <v>12.43</v>
      </c>
      <c r="I274" s="76">
        <f t="shared" si="104"/>
        <v>16.158999999999999</v>
      </c>
      <c r="J274" s="77">
        <f t="shared" si="105"/>
        <v>48.476999999999997</v>
      </c>
      <c r="K274" s="280"/>
      <c r="L274" s="281"/>
      <c r="M274" s="281"/>
    </row>
    <row r="275" spans="1:13" s="12" customFormat="1" outlineLevel="1">
      <c r="A275" s="71" t="s">
        <v>1048</v>
      </c>
      <c r="B275" s="78" t="s">
        <v>158</v>
      </c>
      <c r="C275" s="94" t="s">
        <v>818</v>
      </c>
      <c r="D275" s="79" t="s">
        <v>679</v>
      </c>
      <c r="E275" s="74">
        <v>5</v>
      </c>
      <c r="F275" s="75">
        <v>12.43</v>
      </c>
      <c r="G275" s="75">
        <v>0</v>
      </c>
      <c r="H275" s="75">
        <f t="shared" si="103"/>
        <v>12.43</v>
      </c>
      <c r="I275" s="76">
        <f t="shared" si="104"/>
        <v>16.158999999999999</v>
      </c>
      <c r="J275" s="77">
        <f t="shared" si="105"/>
        <v>80.794999999999987</v>
      </c>
      <c r="K275" s="280"/>
      <c r="L275" s="281"/>
      <c r="M275" s="281"/>
    </row>
    <row r="276" spans="1:13" s="12" customFormat="1" outlineLevel="1">
      <c r="A276" s="71" t="s">
        <v>1049</v>
      </c>
      <c r="B276" s="78" t="s">
        <v>158</v>
      </c>
      <c r="C276" s="94" t="s">
        <v>813</v>
      </c>
      <c r="D276" s="79" t="s">
        <v>679</v>
      </c>
      <c r="E276" s="74">
        <v>1</v>
      </c>
      <c r="F276" s="75">
        <v>39.97</v>
      </c>
      <c r="G276" s="75">
        <v>0</v>
      </c>
      <c r="H276" s="75">
        <f t="shared" si="103"/>
        <v>39.97</v>
      </c>
      <c r="I276" s="76">
        <f t="shared" si="104"/>
        <v>51.960999999999999</v>
      </c>
      <c r="J276" s="77">
        <f t="shared" si="105"/>
        <v>51.960999999999999</v>
      </c>
      <c r="K276" s="280" t="s">
        <v>1168</v>
      </c>
      <c r="L276" s="281"/>
      <c r="M276" s="281"/>
    </row>
    <row r="277" spans="1:13" s="12" customFormat="1" outlineLevel="1">
      <c r="A277" s="71" t="s">
        <v>1050</v>
      </c>
      <c r="B277" s="78" t="s">
        <v>158</v>
      </c>
      <c r="C277" s="94" t="s">
        <v>814</v>
      </c>
      <c r="D277" s="79" t="s">
        <v>679</v>
      </c>
      <c r="E277" s="74">
        <v>1</v>
      </c>
      <c r="F277" s="75">
        <v>39.97</v>
      </c>
      <c r="G277" s="75">
        <v>0</v>
      </c>
      <c r="H277" s="75">
        <f t="shared" si="103"/>
        <v>39.97</v>
      </c>
      <c r="I277" s="76">
        <f t="shared" si="104"/>
        <v>51.960999999999999</v>
      </c>
      <c r="J277" s="77">
        <f t="shared" si="105"/>
        <v>51.960999999999999</v>
      </c>
      <c r="K277" s="280"/>
      <c r="L277" s="281"/>
      <c r="M277" s="281"/>
    </row>
    <row r="278" spans="1:13" s="12" customFormat="1" outlineLevel="1">
      <c r="A278" s="71" t="s">
        <v>1051</v>
      </c>
      <c r="B278" s="78" t="s">
        <v>158</v>
      </c>
      <c r="C278" s="94" t="s">
        <v>815</v>
      </c>
      <c r="D278" s="79" t="s">
        <v>679</v>
      </c>
      <c r="E278" s="74">
        <v>8</v>
      </c>
      <c r="F278" s="75">
        <v>39.97</v>
      </c>
      <c r="G278" s="75">
        <v>0</v>
      </c>
      <c r="H278" s="75">
        <f t="shared" si="103"/>
        <v>39.97</v>
      </c>
      <c r="I278" s="76">
        <f t="shared" si="104"/>
        <v>51.960999999999999</v>
      </c>
      <c r="J278" s="77">
        <f t="shared" si="105"/>
        <v>415.68799999999999</v>
      </c>
      <c r="K278" s="280"/>
      <c r="L278" s="281"/>
      <c r="M278" s="281"/>
    </row>
    <row r="279" spans="1:13" s="12" customFormat="1" outlineLevel="1">
      <c r="A279" s="71" t="s">
        <v>1052</v>
      </c>
      <c r="B279" s="78" t="s">
        <v>158</v>
      </c>
      <c r="C279" s="94" t="s">
        <v>820</v>
      </c>
      <c r="D279" s="79" t="s">
        <v>679</v>
      </c>
      <c r="E279" s="74">
        <v>2</v>
      </c>
      <c r="F279" s="75">
        <v>117.93</v>
      </c>
      <c r="G279" s="75">
        <v>0</v>
      </c>
      <c r="H279" s="75">
        <f t="shared" si="103"/>
        <v>117.93</v>
      </c>
      <c r="I279" s="76">
        <f t="shared" si="104"/>
        <v>153.30900000000003</v>
      </c>
      <c r="J279" s="77">
        <f t="shared" si="105"/>
        <v>306.61800000000005</v>
      </c>
      <c r="K279" s="280" t="s">
        <v>1168</v>
      </c>
      <c r="L279" s="281"/>
      <c r="M279" s="281"/>
    </row>
    <row r="280" spans="1:13" s="12" customFormat="1" outlineLevel="1">
      <c r="A280" s="71" t="s">
        <v>1053</v>
      </c>
      <c r="B280" s="78" t="s">
        <v>158</v>
      </c>
      <c r="C280" s="94" t="s">
        <v>685</v>
      </c>
      <c r="D280" s="79" t="s">
        <v>679</v>
      </c>
      <c r="E280" s="74">
        <v>6</v>
      </c>
      <c r="F280" s="75">
        <v>174.9</v>
      </c>
      <c r="G280" s="75">
        <v>0</v>
      </c>
      <c r="H280" s="75">
        <f t="shared" si="103"/>
        <v>174.9</v>
      </c>
      <c r="I280" s="76">
        <f t="shared" si="104"/>
        <v>227.37</v>
      </c>
      <c r="J280" s="77">
        <f t="shared" si="105"/>
        <v>1364.22</v>
      </c>
      <c r="K280" s="280"/>
      <c r="L280" s="281"/>
      <c r="M280" s="281"/>
    </row>
    <row r="281" spans="1:13" s="12" customFormat="1" ht="22.5" outlineLevel="1">
      <c r="A281" s="71" t="s">
        <v>1054</v>
      </c>
      <c r="B281" s="78" t="s">
        <v>158</v>
      </c>
      <c r="C281" s="94" t="s">
        <v>824</v>
      </c>
      <c r="D281" s="79" t="s">
        <v>679</v>
      </c>
      <c r="E281" s="74">
        <v>1</v>
      </c>
      <c r="F281" s="75">
        <v>982.27</v>
      </c>
      <c r="G281" s="75">
        <v>0</v>
      </c>
      <c r="H281" s="75">
        <f t="shared" si="103"/>
        <v>982.27</v>
      </c>
      <c r="I281" s="76">
        <f t="shared" si="104"/>
        <v>1276.951</v>
      </c>
      <c r="J281" s="77">
        <f t="shared" si="105"/>
        <v>1276.951</v>
      </c>
      <c r="K281" s="280"/>
      <c r="L281" s="281"/>
      <c r="M281" s="281"/>
    </row>
    <row r="282" spans="1:13" s="12" customFormat="1" outlineLevel="1">
      <c r="A282" s="71" t="s">
        <v>1055</v>
      </c>
      <c r="B282" s="78" t="s">
        <v>158</v>
      </c>
      <c r="C282" s="94" t="s">
        <v>809</v>
      </c>
      <c r="D282" s="79" t="s">
        <v>679</v>
      </c>
      <c r="E282" s="74">
        <v>1</v>
      </c>
      <c r="F282" s="75">
        <v>137.75</v>
      </c>
      <c r="G282" s="75">
        <v>0</v>
      </c>
      <c r="H282" s="75">
        <f t="shared" si="103"/>
        <v>137.75</v>
      </c>
      <c r="I282" s="76">
        <f t="shared" si="104"/>
        <v>179.07500000000002</v>
      </c>
      <c r="J282" s="77">
        <f t="shared" si="105"/>
        <v>179.07500000000002</v>
      </c>
      <c r="K282" s="280" t="s">
        <v>1168</v>
      </c>
      <c r="L282" s="281"/>
      <c r="M282" s="281"/>
    </row>
    <row r="283" spans="1:13" s="12" customFormat="1" outlineLevel="1">
      <c r="A283" s="71" t="s">
        <v>1056</v>
      </c>
      <c r="B283" s="78" t="s">
        <v>158</v>
      </c>
      <c r="C283" s="94" t="s">
        <v>808</v>
      </c>
      <c r="D283" s="79" t="s">
        <v>679</v>
      </c>
      <c r="E283" s="74">
        <v>1</v>
      </c>
      <c r="F283" s="75">
        <v>25.74</v>
      </c>
      <c r="G283" s="75">
        <v>0</v>
      </c>
      <c r="H283" s="75">
        <f t="shared" si="103"/>
        <v>25.74</v>
      </c>
      <c r="I283" s="76">
        <f t="shared" si="104"/>
        <v>33.461999999999996</v>
      </c>
      <c r="J283" s="77">
        <f t="shared" si="105"/>
        <v>33.461999999999996</v>
      </c>
      <c r="K283" s="280"/>
      <c r="L283" s="281"/>
      <c r="M283" s="281"/>
    </row>
    <row r="284" spans="1:13" s="12" customFormat="1" outlineLevel="1">
      <c r="A284" s="71" t="s">
        <v>1057</v>
      </c>
      <c r="B284" s="78" t="s">
        <v>158</v>
      </c>
      <c r="C284" s="94" t="s">
        <v>810</v>
      </c>
      <c r="D284" s="79" t="s">
        <v>679</v>
      </c>
      <c r="E284" s="74">
        <v>4</v>
      </c>
      <c r="F284" s="75">
        <v>49.99</v>
      </c>
      <c r="G284" s="75">
        <v>0</v>
      </c>
      <c r="H284" s="75">
        <f t="shared" si="103"/>
        <v>49.99</v>
      </c>
      <c r="I284" s="76">
        <f t="shared" si="104"/>
        <v>64.987000000000009</v>
      </c>
      <c r="J284" s="77">
        <f t="shared" si="105"/>
        <v>259.94800000000004</v>
      </c>
      <c r="K284" s="280"/>
      <c r="L284" s="281"/>
      <c r="M284" s="281"/>
    </row>
    <row r="285" spans="1:13" s="12" customFormat="1" outlineLevel="1">
      <c r="A285" s="71" t="s">
        <v>1058</v>
      </c>
      <c r="B285" s="78" t="s">
        <v>158</v>
      </c>
      <c r="C285" s="94" t="s">
        <v>811</v>
      </c>
      <c r="D285" s="79" t="s">
        <v>679</v>
      </c>
      <c r="E285" s="74">
        <v>1</v>
      </c>
      <c r="F285" s="75">
        <v>259.77999999999997</v>
      </c>
      <c r="G285" s="75">
        <v>0</v>
      </c>
      <c r="H285" s="75">
        <f t="shared" si="103"/>
        <v>259.77999999999997</v>
      </c>
      <c r="I285" s="76">
        <f t="shared" si="104"/>
        <v>337.714</v>
      </c>
      <c r="J285" s="77">
        <f t="shared" si="105"/>
        <v>337.714</v>
      </c>
      <c r="K285" s="280" t="s">
        <v>1168</v>
      </c>
      <c r="L285" s="281"/>
      <c r="M285" s="281"/>
    </row>
    <row r="286" spans="1:13" s="12" customFormat="1" outlineLevel="1">
      <c r="A286" s="71" t="s">
        <v>1059</v>
      </c>
      <c r="B286" s="78" t="s">
        <v>158</v>
      </c>
      <c r="C286" s="94" t="s">
        <v>817</v>
      </c>
      <c r="D286" s="79" t="s">
        <v>679</v>
      </c>
      <c r="E286" s="74">
        <v>4</v>
      </c>
      <c r="F286" s="75">
        <v>12.43</v>
      </c>
      <c r="G286" s="75">
        <v>0</v>
      </c>
      <c r="H286" s="75">
        <f t="shared" si="103"/>
        <v>12.43</v>
      </c>
      <c r="I286" s="76">
        <f t="shared" si="104"/>
        <v>16.158999999999999</v>
      </c>
      <c r="J286" s="77">
        <f t="shared" si="105"/>
        <v>64.635999999999996</v>
      </c>
      <c r="K286" s="280"/>
      <c r="L286" s="281"/>
      <c r="M286" s="281"/>
    </row>
    <row r="287" spans="1:13" s="12" customFormat="1" outlineLevel="1">
      <c r="A287" s="71" t="s">
        <v>1060</v>
      </c>
      <c r="B287" s="78" t="s">
        <v>158</v>
      </c>
      <c r="C287" s="94" t="s">
        <v>818</v>
      </c>
      <c r="D287" s="79" t="s">
        <v>679</v>
      </c>
      <c r="E287" s="74">
        <v>7</v>
      </c>
      <c r="F287" s="75">
        <v>12.43</v>
      </c>
      <c r="G287" s="75">
        <v>0</v>
      </c>
      <c r="H287" s="75">
        <f t="shared" si="103"/>
        <v>12.43</v>
      </c>
      <c r="I287" s="76">
        <f t="shared" si="104"/>
        <v>16.158999999999999</v>
      </c>
      <c r="J287" s="77">
        <f t="shared" si="105"/>
        <v>113.113</v>
      </c>
      <c r="K287" s="280"/>
      <c r="L287" s="281"/>
      <c r="M287" s="281"/>
    </row>
    <row r="288" spans="1:13" s="12" customFormat="1" outlineLevel="1">
      <c r="A288" s="71" t="s">
        <v>1061</v>
      </c>
      <c r="B288" s="78" t="s">
        <v>158</v>
      </c>
      <c r="C288" s="94" t="s">
        <v>815</v>
      </c>
      <c r="D288" s="79" t="s">
        <v>679</v>
      </c>
      <c r="E288" s="74">
        <v>5</v>
      </c>
      <c r="F288" s="75">
        <v>39.97</v>
      </c>
      <c r="G288" s="75">
        <v>0</v>
      </c>
      <c r="H288" s="75">
        <f t="shared" si="103"/>
        <v>39.97</v>
      </c>
      <c r="I288" s="76">
        <f t="shared" si="104"/>
        <v>51.960999999999999</v>
      </c>
      <c r="J288" s="77">
        <f t="shared" si="105"/>
        <v>259.80500000000001</v>
      </c>
      <c r="K288" s="280" t="s">
        <v>1168</v>
      </c>
      <c r="L288" s="281"/>
      <c r="M288" s="281"/>
    </row>
    <row r="289" spans="1:13" s="12" customFormat="1" outlineLevel="1">
      <c r="A289" s="71" t="s">
        <v>1062</v>
      </c>
      <c r="B289" s="78" t="s">
        <v>158</v>
      </c>
      <c r="C289" s="94" t="s">
        <v>820</v>
      </c>
      <c r="D289" s="79" t="s">
        <v>679</v>
      </c>
      <c r="E289" s="74">
        <v>2</v>
      </c>
      <c r="F289" s="75">
        <v>117.93</v>
      </c>
      <c r="G289" s="75">
        <v>0</v>
      </c>
      <c r="H289" s="75">
        <f t="shared" si="103"/>
        <v>117.93</v>
      </c>
      <c r="I289" s="76">
        <f t="shared" si="104"/>
        <v>153.30900000000003</v>
      </c>
      <c r="J289" s="77">
        <f t="shared" si="105"/>
        <v>306.61800000000005</v>
      </c>
      <c r="K289" s="280"/>
      <c r="L289" s="281"/>
      <c r="M289" s="281"/>
    </row>
    <row r="290" spans="1:13" s="12" customFormat="1" outlineLevel="1">
      <c r="A290" s="108" t="s">
        <v>1063</v>
      </c>
      <c r="B290" s="108"/>
      <c r="C290" s="109" t="s">
        <v>799</v>
      </c>
      <c r="D290" s="110"/>
      <c r="E290" s="111"/>
      <c r="F290" s="112"/>
      <c r="G290" s="112"/>
      <c r="H290" s="113"/>
      <c r="I290" s="113"/>
      <c r="J290" s="114"/>
      <c r="K290" s="280"/>
      <c r="L290" s="281"/>
      <c r="M290" s="281"/>
    </row>
    <row r="291" spans="1:13" s="12" customFormat="1" outlineLevel="1">
      <c r="A291" s="71" t="s">
        <v>1064</v>
      </c>
      <c r="B291" s="78" t="s">
        <v>158</v>
      </c>
      <c r="C291" s="94" t="s">
        <v>800</v>
      </c>
      <c r="D291" s="79" t="s">
        <v>679</v>
      </c>
      <c r="E291" s="74">
        <v>55</v>
      </c>
      <c r="F291" s="75">
        <v>9.5299999999999994</v>
      </c>
      <c r="G291" s="75">
        <v>0</v>
      </c>
      <c r="H291" s="75">
        <f t="shared" ref="H291:H298" si="106">F291+G291</f>
        <v>9.5299999999999994</v>
      </c>
      <c r="I291" s="76">
        <f t="shared" ref="I291:I298" si="107">H291*(1+$J$4)</f>
        <v>12.388999999999999</v>
      </c>
      <c r="J291" s="77">
        <f t="shared" ref="J291:J298" si="108">E291*I291</f>
        <v>681.39499999999998</v>
      </c>
      <c r="K291" s="280" t="s">
        <v>1168</v>
      </c>
      <c r="L291" s="281"/>
      <c r="M291" s="281"/>
    </row>
    <row r="292" spans="1:13" s="12" customFormat="1" outlineLevel="1">
      <c r="A292" s="71" t="s">
        <v>1065</v>
      </c>
      <c r="B292" s="78" t="s">
        <v>158</v>
      </c>
      <c r="C292" s="94" t="s">
        <v>801</v>
      </c>
      <c r="D292" s="79" t="s">
        <v>679</v>
      </c>
      <c r="E292" s="74">
        <v>16</v>
      </c>
      <c r="F292" s="75">
        <v>15.32</v>
      </c>
      <c r="G292" s="75">
        <v>0</v>
      </c>
      <c r="H292" s="75">
        <f t="shared" si="106"/>
        <v>15.32</v>
      </c>
      <c r="I292" s="76">
        <f t="shared" si="107"/>
        <v>19.916</v>
      </c>
      <c r="J292" s="77">
        <f t="shared" si="108"/>
        <v>318.65600000000001</v>
      </c>
      <c r="K292" s="280"/>
      <c r="L292" s="281"/>
      <c r="M292" s="281"/>
    </row>
    <row r="293" spans="1:13" s="12" customFormat="1" outlineLevel="1">
      <c r="A293" s="71" t="s">
        <v>1066</v>
      </c>
      <c r="B293" s="78" t="s">
        <v>158</v>
      </c>
      <c r="C293" s="94" t="s">
        <v>802</v>
      </c>
      <c r="D293" s="79" t="s">
        <v>679</v>
      </c>
      <c r="E293" s="74">
        <v>18</v>
      </c>
      <c r="F293" s="75">
        <v>11.52</v>
      </c>
      <c r="G293" s="75">
        <v>0</v>
      </c>
      <c r="H293" s="75">
        <f t="shared" si="106"/>
        <v>11.52</v>
      </c>
      <c r="I293" s="76">
        <f t="shared" si="107"/>
        <v>14.975999999999999</v>
      </c>
      <c r="J293" s="77">
        <f t="shared" si="108"/>
        <v>269.56799999999998</v>
      </c>
      <c r="K293" s="280"/>
      <c r="L293" s="281"/>
      <c r="M293" s="281"/>
    </row>
    <row r="294" spans="1:13" s="12" customFormat="1" outlineLevel="1">
      <c r="A294" s="71" t="s">
        <v>1067</v>
      </c>
      <c r="B294" s="78" t="s">
        <v>158</v>
      </c>
      <c r="C294" s="94" t="s">
        <v>803</v>
      </c>
      <c r="D294" s="79" t="s">
        <v>679</v>
      </c>
      <c r="E294" s="74">
        <v>6</v>
      </c>
      <c r="F294" s="75">
        <v>8.57</v>
      </c>
      <c r="G294" s="75">
        <v>0</v>
      </c>
      <c r="H294" s="75">
        <f t="shared" si="106"/>
        <v>8.57</v>
      </c>
      <c r="I294" s="76">
        <f t="shared" si="107"/>
        <v>11.141</v>
      </c>
      <c r="J294" s="77">
        <f t="shared" si="108"/>
        <v>66.846000000000004</v>
      </c>
      <c r="K294" s="280" t="s">
        <v>1168</v>
      </c>
      <c r="L294" s="281"/>
      <c r="M294" s="281"/>
    </row>
    <row r="295" spans="1:13" s="12" customFormat="1" outlineLevel="1">
      <c r="A295" s="71" t="s">
        <v>1068</v>
      </c>
      <c r="B295" s="78" t="s">
        <v>158</v>
      </c>
      <c r="C295" s="94" t="s">
        <v>804</v>
      </c>
      <c r="D295" s="79" t="s">
        <v>679</v>
      </c>
      <c r="E295" s="74">
        <v>7</v>
      </c>
      <c r="F295" s="75">
        <v>13.47</v>
      </c>
      <c r="G295" s="75">
        <v>0</v>
      </c>
      <c r="H295" s="75">
        <f t="shared" si="106"/>
        <v>13.47</v>
      </c>
      <c r="I295" s="76">
        <f t="shared" si="107"/>
        <v>17.511000000000003</v>
      </c>
      <c r="J295" s="77">
        <f t="shared" si="108"/>
        <v>122.57700000000003</v>
      </c>
      <c r="K295" s="280"/>
      <c r="L295" s="281"/>
      <c r="M295" s="281"/>
    </row>
    <row r="296" spans="1:13" s="12" customFormat="1" outlineLevel="1">
      <c r="A296" s="71" t="s">
        <v>1069</v>
      </c>
      <c r="B296" s="78" t="s">
        <v>158</v>
      </c>
      <c r="C296" s="94" t="s">
        <v>805</v>
      </c>
      <c r="D296" s="79" t="s">
        <v>679</v>
      </c>
      <c r="E296" s="74">
        <v>1</v>
      </c>
      <c r="F296" s="75">
        <v>19.07</v>
      </c>
      <c r="G296" s="75">
        <v>0</v>
      </c>
      <c r="H296" s="75">
        <f t="shared" si="106"/>
        <v>19.07</v>
      </c>
      <c r="I296" s="76">
        <f t="shared" si="107"/>
        <v>24.791</v>
      </c>
      <c r="J296" s="77">
        <f t="shared" si="108"/>
        <v>24.791</v>
      </c>
      <c r="K296" s="280"/>
      <c r="L296" s="281"/>
      <c r="M296" s="281"/>
    </row>
    <row r="297" spans="1:13" s="12" customFormat="1" ht="22.5" outlineLevel="1">
      <c r="A297" s="71" t="s">
        <v>1070</v>
      </c>
      <c r="B297" s="78" t="s">
        <v>158</v>
      </c>
      <c r="C297" s="94" t="s">
        <v>806</v>
      </c>
      <c r="D297" s="79" t="s">
        <v>679</v>
      </c>
      <c r="E297" s="74">
        <v>3</v>
      </c>
      <c r="F297" s="75">
        <v>14.88</v>
      </c>
      <c r="G297" s="75">
        <v>0</v>
      </c>
      <c r="H297" s="75">
        <f t="shared" si="106"/>
        <v>14.88</v>
      </c>
      <c r="I297" s="76">
        <f t="shared" si="107"/>
        <v>19.344000000000001</v>
      </c>
      <c r="J297" s="77">
        <f t="shared" si="108"/>
        <v>58.032000000000004</v>
      </c>
      <c r="K297" s="280" t="s">
        <v>1168</v>
      </c>
      <c r="L297" s="281"/>
      <c r="M297" s="281"/>
    </row>
    <row r="298" spans="1:13" s="12" customFormat="1" outlineLevel="1">
      <c r="A298" s="71" t="s">
        <v>1071</v>
      </c>
      <c r="B298" s="78" t="s">
        <v>158</v>
      </c>
      <c r="C298" s="94" t="s">
        <v>807</v>
      </c>
      <c r="D298" s="79" t="s">
        <v>7</v>
      </c>
      <c r="E298" s="74">
        <v>1</v>
      </c>
      <c r="F298" s="75">
        <v>200</v>
      </c>
      <c r="G298" s="75">
        <v>0</v>
      </c>
      <c r="H298" s="75">
        <f t="shared" si="106"/>
        <v>200</v>
      </c>
      <c r="I298" s="76">
        <f t="shared" si="107"/>
        <v>260</v>
      </c>
      <c r="J298" s="77">
        <f t="shared" si="108"/>
        <v>260</v>
      </c>
      <c r="K298" s="280"/>
      <c r="L298" s="281"/>
      <c r="M298" s="281"/>
    </row>
    <row r="299" spans="1:13" s="12" customFormat="1" outlineLevel="1">
      <c r="A299" s="63" t="s">
        <v>166</v>
      </c>
      <c r="B299" s="63"/>
      <c r="C299" s="96" t="s">
        <v>1072</v>
      </c>
      <c r="D299" s="65"/>
      <c r="E299" s="66"/>
      <c r="F299" s="67"/>
      <c r="G299" s="67"/>
      <c r="H299" s="68"/>
      <c r="I299" s="68"/>
      <c r="J299" s="69"/>
      <c r="K299" s="280"/>
      <c r="L299" s="281"/>
      <c r="M299" s="281"/>
    </row>
    <row r="300" spans="1:13" s="12" customFormat="1" outlineLevel="1">
      <c r="A300" s="108" t="s">
        <v>167</v>
      </c>
      <c r="B300" s="108"/>
      <c r="C300" s="109" t="s">
        <v>747</v>
      </c>
      <c r="D300" s="110"/>
      <c r="E300" s="111"/>
      <c r="F300" s="112"/>
      <c r="G300" s="112"/>
      <c r="H300" s="113"/>
      <c r="I300" s="113"/>
      <c r="J300" s="114"/>
      <c r="K300" s="280" t="s">
        <v>1168</v>
      </c>
      <c r="L300" s="281"/>
      <c r="M300" s="281"/>
    </row>
    <row r="301" spans="1:13" s="12" customFormat="1" outlineLevel="1">
      <c r="A301" s="71" t="s">
        <v>1073</v>
      </c>
      <c r="B301" s="78" t="s">
        <v>158</v>
      </c>
      <c r="C301" s="94" t="s">
        <v>847</v>
      </c>
      <c r="D301" s="79" t="s">
        <v>5</v>
      </c>
      <c r="E301" s="74">
        <f>305*3</f>
        <v>915</v>
      </c>
      <c r="F301" s="75">
        <f>1122.63/305</f>
        <v>3.6807540983606559</v>
      </c>
      <c r="G301" s="75">
        <v>0</v>
      </c>
      <c r="H301" s="75">
        <f t="shared" ref="H301" si="109">F301+G301</f>
        <v>3.6807540983606559</v>
      </c>
      <c r="I301" s="76">
        <f t="shared" ref="I301" si="110">H301*(1+$J$4)</f>
        <v>4.784980327868853</v>
      </c>
      <c r="J301" s="77">
        <f t="shared" ref="J301" si="111">E301*I301</f>
        <v>4378.2570000000005</v>
      </c>
      <c r="K301" s="280"/>
      <c r="L301" s="281"/>
      <c r="M301" s="281"/>
    </row>
    <row r="302" spans="1:13" s="12" customFormat="1" outlineLevel="1">
      <c r="A302" s="108" t="s">
        <v>1074</v>
      </c>
      <c r="B302" s="108"/>
      <c r="C302" s="109" t="s">
        <v>681</v>
      </c>
      <c r="D302" s="110"/>
      <c r="E302" s="111"/>
      <c r="F302" s="112"/>
      <c r="G302" s="112"/>
      <c r="H302" s="113"/>
      <c r="I302" s="113"/>
      <c r="J302" s="114"/>
      <c r="K302" s="280"/>
      <c r="L302" s="281"/>
      <c r="M302" s="281"/>
    </row>
    <row r="303" spans="1:13" s="12" customFormat="1" outlineLevel="1">
      <c r="A303" s="71" t="s">
        <v>1075</v>
      </c>
      <c r="B303" s="78" t="s">
        <v>158</v>
      </c>
      <c r="C303" s="94" t="s">
        <v>751</v>
      </c>
      <c r="D303" s="79" t="s">
        <v>679</v>
      </c>
      <c r="E303" s="74">
        <v>2</v>
      </c>
      <c r="F303" s="75">
        <v>99</v>
      </c>
      <c r="G303" s="75">
        <v>0</v>
      </c>
      <c r="H303" s="75">
        <f t="shared" ref="H303:H304" si="112">F303+G303</f>
        <v>99</v>
      </c>
      <c r="I303" s="76">
        <f t="shared" ref="I303:I304" si="113">H303*(1+$J$4)</f>
        <v>128.70000000000002</v>
      </c>
      <c r="J303" s="77">
        <f t="shared" ref="J303:J304" si="114">E303*I303</f>
        <v>257.40000000000003</v>
      </c>
      <c r="K303" s="280" t="s">
        <v>1168</v>
      </c>
      <c r="L303" s="281"/>
      <c r="M303" s="281"/>
    </row>
    <row r="304" spans="1:13" s="12" customFormat="1" outlineLevel="1">
      <c r="A304" s="71" t="s">
        <v>1076</v>
      </c>
      <c r="B304" s="78" t="s">
        <v>158</v>
      </c>
      <c r="C304" s="94" t="s">
        <v>752</v>
      </c>
      <c r="D304" s="79" t="s">
        <v>679</v>
      </c>
      <c r="E304" s="74">
        <v>15</v>
      </c>
      <c r="F304" s="75">
        <v>89.9</v>
      </c>
      <c r="G304" s="75">
        <v>0</v>
      </c>
      <c r="H304" s="75">
        <f t="shared" si="112"/>
        <v>89.9</v>
      </c>
      <c r="I304" s="76">
        <f t="shared" si="113"/>
        <v>116.87</v>
      </c>
      <c r="J304" s="77">
        <f t="shared" si="114"/>
        <v>1753.0500000000002</v>
      </c>
      <c r="K304" s="280"/>
      <c r="L304" s="281"/>
      <c r="M304" s="281"/>
    </row>
    <row r="305" spans="1:13" s="12" customFormat="1" outlineLevel="1">
      <c r="A305" s="108" t="s">
        <v>1077</v>
      </c>
      <c r="B305" s="108"/>
      <c r="C305" s="109" t="s">
        <v>763</v>
      </c>
      <c r="D305" s="110"/>
      <c r="E305" s="111"/>
      <c r="F305" s="112"/>
      <c r="G305" s="112"/>
      <c r="H305" s="113"/>
      <c r="I305" s="113"/>
      <c r="J305" s="114"/>
      <c r="K305" s="280"/>
      <c r="L305" s="281"/>
      <c r="M305" s="281"/>
    </row>
    <row r="306" spans="1:13" s="12" customFormat="1" outlineLevel="1">
      <c r="A306" s="71" t="s">
        <v>1078</v>
      </c>
      <c r="B306" s="78" t="s">
        <v>158</v>
      </c>
      <c r="C306" s="94" t="s">
        <v>764</v>
      </c>
      <c r="D306" s="79" t="s">
        <v>679</v>
      </c>
      <c r="E306" s="74">
        <v>2</v>
      </c>
      <c r="F306" s="75">
        <v>6.79</v>
      </c>
      <c r="G306" s="75">
        <v>0</v>
      </c>
      <c r="H306" s="75">
        <f t="shared" ref="H306:H310" si="115">F306+G306</f>
        <v>6.79</v>
      </c>
      <c r="I306" s="76">
        <f t="shared" ref="I306:I310" si="116">H306*(1+$J$4)</f>
        <v>8.827</v>
      </c>
      <c r="J306" s="77">
        <f t="shared" ref="J306:J310" si="117">E306*I306</f>
        <v>17.654</v>
      </c>
      <c r="K306" s="280" t="s">
        <v>1168</v>
      </c>
      <c r="L306" s="281"/>
      <c r="M306" s="281"/>
    </row>
    <row r="307" spans="1:13" s="12" customFormat="1" outlineLevel="1">
      <c r="A307" s="71" t="s">
        <v>977</v>
      </c>
      <c r="B307" s="78" t="s">
        <v>158</v>
      </c>
      <c r="C307" s="94" t="s">
        <v>829</v>
      </c>
      <c r="D307" s="79" t="s">
        <v>679</v>
      </c>
      <c r="E307" s="74">
        <v>11</v>
      </c>
      <c r="F307" s="75">
        <v>14.1</v>
      </c>
      <c r="G307" s="75">
        <v>0</v>
      </c>
      <c r="H307" s="75">
        <f t="shared" si="115"/>
        <v>14.1</v>
      </c>
      <c r="I307" s="76">
        <f t="shared" si="116"/>
        <v>18.330000000000002</v>
      </c>
      <c r="J307" s="77">
        <f t="shared" si="117"/>
        <v>201.63000000000002</v>
      </c>
      <c r="K307" s="280"/>
      <c r="L307" s="281"/>
      <c r="M307" s="281"/>
    </row>
    <row r="308" spans="1:13" s="12" customFormat="1" outlineLevel="1">
      <c r="A308" s="71" t="s">
        <v>1079</v>
      </c>
      <c r="B308" s="78" t="s">
        <v>158</v>
      </c>
      <c r="C308" s="94" t="s">
        <v>765</v>
      </c>
      <c r="D308" s="79" t="s">
        <v>679</v>
      </c>
      <c r="E308" s="74">
        <v>2</v>
      </c>
      <c r="F308" s="75">
        <v>13.9</v>
      </c>
      <c r="G308" s="75">
        <v>0</v>
      </c>
      <c r="H308" s="75">
        <f t="shared" si="115"/>
        <v>13.9</v>
      </c>
      <c r="I308" s="76">
        <f t="shared" si="116"/>
        <v>18.07</v>
      </c>
      <c r="J308" s="77">
        <f t="shared" si="117"/>
        <v>36.14</v>
      </c>
      <c r="K308" s="280"/>
      <c r="L308" s="281"/>
      <c r="M308" s="281"/>
    </row>
    <row r="309" spans="1:13" s="12" customFormat="1" outlineLevel="1">
      <c r="A309" s="71" t="s">
        <v>1080</v>
      </c>
      <c r="B309" s="78" t="s">
        <v>158</v>
      </c>
      <c r="C309" s="94" t="s">
        <v>830</v>
      </c>
      <c r="D309" s="79" t="s">
        <v>679</v>
      </c>
      <c r="E309" s="74">
        <v>10</v>
      </c>
      <c r="F309" s="75">
        <v>33.630000000000003</v>
      </c>
      <c r="G309" s="75">
        <v>0</v>
      </c>
      <c r="H309" s="75">
        <f t="shared" si="115"/>
        <v>33.630000000000003</v>
      </c>
      <c r="I309" s="76">
        <f t="shared" si="116"/>
        <v>43.719000000000008</v>
      </c>
      <c r="J309" s="77">
        <f t="shared" si="117"/>
        <v>437.19000000000005</v>
      </c>
      <c r="K309" s="280" t="s">
        <v>1168</v>
      </c>
      <c r="L309" s="281"/>
      <c r="M309" s="281"/>
    </row>
    <row r="310" spans="1:13" s="12" customFormat="1" outlineLevel="1">
      <c r="A310" s="71" t="s">
        <v>1081</v>
      </c>
      <c r="B310" s="78" t="s">
        <v>158</v>
      </c>
      <c r="C310" s="94" t="s">
        <v>762</v>
      </c>
      <c r="D310" s="79" t="s">
        <v>5</v>
      </c>
      <c r="E310" s="74">
        <v>17</v>
      </c>
      <c r="F310" s="75">
        <f>32.61/2</f>
        <v>16.305</v>
      </c>
      <c r="G310" s="75">
        <v>0</v>
      </c>
      <c r="H310" s="75">
        <f t="shared" si="115"/>
        <v>16.305</v>
      </c>
      <c r="I310" s="76">
        <f t="shared" si="116"/>
        <v>21.1965</v>
      </c>
      <c r="J310" s="77">
        <f t="shared" si="117"/>
        <v>360.34050000000002</v>
      </c>
      <c r="K310" s="280"/>
      <c r="L310" s="281"/>
      <c r="M310" s="281"/>
    </row>
    <row r="311" spans="1:13" s="12" customFormat="1" outlineLevel="1">
      <c r="A311" s="108" t="s">
        <v>1082</v>
      </c>
      <c r="B311" s="108"/>
      <c r="C311" s="109" t="s">
        <v>682</v>
      </c>
      <c r="D311" s="110"/>
      <c r="E311" s="111"/>
      <c r="F311" s="112"/>
      <c r="G311" s="112"/>
      <c r="H311" s="113"/>
      <c r="I311" s="113"/>
      <c r="J311" s="114"/>
      <c r="K311" s="280"/>
      <c r="L311" s="281"/>
      <c r="M311" s="281"/>
    </row>
    <row r="312" spans="1:13" s="12" customFormat="1" outlineLevel="1">
      <c r="A312" s="71" t="s">
        <v>1083</v>
      </c>
      <c r="B312" s="78" t="s">
        <v>158</v>
      </c>
      <c r="C312" s="94" t="s">
        <v>760</v>
      </c>
      <c r="D312" s="79" t="s">
        <v>5</v>
      </c>
      <c r="E312" s="74">
        <v>100</v>
      </c>
      <c r="F312" s="75">
        <f>103.78/50</f>
        <v>2.0756000000000001</v>
      </c>
      <c r="G312" s="75">
        <v>0</v>
      </c>
      <c r="H312" s="75">
        <f t="shared" ref="H312:H314" si="118">F312+G312</f>
        <v>2.0756000000000001</v>
      </c>
      <c r="I312" s="76">
        <f t="shared" ref="I312:I314" si="119">H312*(1+$J$4)</f>
        <v>2.6982800000000005</v>
      </c>
      <c r="J312" s="77">
        <f t="shared" ref="J312:J314" si="120">E312*I312</f>
        <v>269.82800000000003</v>
      </c>
      <c r="K312" s="280" t="s">
        <v>1168</v>
      </c>
      <c r="L312" s="281"/>
      <c r="M312" s="281"/>
    </row>
    <row r="313" spans="1:13" s="12" customFormat="1" outlineLevel="1">
      <c r="A313" s="71" t="s">
        <v>978</v>
      </c>
      <c r="B313" s="78" t="s">
        <v>158</v>
      </c>
      <c r="C313" s="94" t="s">
        <v>761</v>
      </c>
      <c r="D313" s="79" t="s">
        <v>5</v>
      </c>
      <c r="E313" s="74">
        <v>20</v>
      </c>
      <c r="F313" s="75">
        <f>154.9/50</f>
        <v>3.0980000000000003</v>
      </c>
      <c r="G313" s="75">
        <v>0</v>
      </c>
      <c r="H313" s="75">
        <f t="shared" si="118"/>
        <v>3.0980000000000003</v>
      </c>
      <c r="I313" s="76">
        <f t="shared" si="119"/>
        <v>4.027400000000001</v>
      </c>
      <c r="J313" s="77">
        <f t="shared" si="120"/>
        <v>80.548000000000016</v>
      </c>
      <c r="K313" s="280"/>
      <c r="L313" s="281"/>
      <c r="M313" s="281"/>
    </row>
    <row r="314" spans="1:13" s="12" customFormat="1" outlineLevel="1">
      <c r="A314" s="71" t="s">
        <v>1084</v>
      </c>
      <c r="B314" s="78" t="s">
        <v>158</v>
      </c>
      <c r="C314" s="94" t="s">
        <v>828</v>
      </c>
      <c r="D314" s="79" t="s">
        <v>5</v>
      </c>
      <c r="E314" s="74">
        <v>20</v>
      </c>
      <c r="F314" s="75">
        <f>209.68/3</f>
        <v>69.893333333333331</v>
      </c>
      <c r="G314" s="75">
        <v>0</v>
      </c>
      <c r="H314" s="75">
        <f t="shared" si="118"/>
        <v>69.893333333333331</v>
      </c>
      <c r="I314" s="76">
        <f t="shared" si="119"/>
        <v>90.861333333333334</v>
      </c>
      <c r="J314" s="77">
        <f t="shared" si="120"/>
        <v>1817.2266666666667</v>
      </c>
      <c r="K314" s="280"/>
      <c r="L314" s="281"/>
      <c r="M314" s="281"/>
    </row>
    <row r="315" spans="1:13" s="12" customFormat="1" outlineLevel="1">
      <c r="A315" s="108" t="s">
        <v>1085</v>
      </c>
      <c r="B315" s="108"/>
      <c r="C315" s="109" t="s">
        <v>759</v>
      </c>
      <c r="D315" s="110"/>
      <c r="E315" s="111"/>
      <c r="F315" s="112"/>
      <c r="G315" s="112"/>
      <c r="H315" s="113"/>
      <c r="I315" s="113"/>
      <c r="J315" s="114"/>
      <c r="K315" s="280" t="s">
        <v>1168</v>
      </c>
      <c r="L315" s="281"/>
      <c r="M315" s="281"/>
    </row>
    <row r="316" spans="1:13" s="12" customFormat="1" outlineLevel="1">
      <c r="A316" s="71" t="s">
        <v>1086</v>
      </c>
      <c r="B316" s="78" t="s">
        <v>158</v>
      </c>
      <c r="C316" s="94" t="s">
        <v>753</v>
      </c>
      <c r="D316" s="79" t="s">
        <v>679</v>
      </c>
      <c r="E316" s="74">
        <v>8</v>
      </c>
      <c r="F316" s="75">
        <v>91.6</v>
      </c>
      <c r="G316" s="75">
        <v>0</v>
      </c>
      <c r="H316" s="75">
        <f t="shared" ref="H316:H318" si="121">F316+G316</f>
        <v>91.6</v>
      </c>
      <c r="I316" s="76">
        <f t="shared" ref="I316:I318" si="122">H316*(1+$J$4)</f>
        <v>119.08</v>
      </c>
      <c r="J316" s="77">
        <f t="shared" ref="J316:J318" si="123">E316*I316</f>
        <v>952.64</v>
      </c>
      <c r="K316" s="280"/>
      <c r="L316" s="281"/>
      <c r="M316" s="281"/>
    </row>
    <row r="317" spans="1:13" s="12" customFormat="1" outlineLevel="1">
      <c r="A317" s="71" t="s">
        <v>1087</v>
      </c>
      <c r="B317" s="78" t="s">
        <v>158</v>
      </c>
      <c r="C317" s="94" t="s">
        <v>754</v>
      </c>
      <c r="D317" s="79" t="s">
        <v>679</v>
      </c>
      <c r="E317" s="74">
        <v>6</v>
      </c>
      <c r="F317" s="75">
        <v>127.6</v>
      </c>
      <c r="G317" s="75">
        <v>0</v>
      </c>
      <c r="H317" s="75">
        <f t="shared" si="121"/>
        <v>127.6</v>
      </c>
      <c r="I317" s="76">
        <f t="shared" si="122"/>
        <v>165.88</v>
      </c>
      <c r="J317" s="77">
        <f t="shared" si="123"/>
        <v>995.28</v>
      </c>
      <c r="K317" s="280"/>
      <c r="L317" s="281"/>
      <c r="M317" s="281"/>
    </row>
    <row r="318" spans="1:13" s="12" customFormat="1" outlineLevel="1">
      <c r="A318" s="71" t="s">
        <v>1088</v>
      </c>
      <c r="B318" s="78" t="s">
        <v>158</v>
      </c>
      <c r="C318" s="94" t="s">
        <v>756</v>
      </c>
      <c r="D318" s="79" t="s">
        <v>679</v>
      </c>
      <c r="E318" s="74">
        <v>21</v>
      </c>
      <c r="F318" s="75">
        <v>209.68</v>
      </c>
      <c r="G318" s="75">
        <v>0</v>
      </c>
      <c r="H318" s="75">
        <f t="shared" si="121"/>
        <v>209.68</v>
      </c>
      <c r="I318" s="76">
        <f t="shared" si="122"/>
        <v>272.584</v>
      </c>
      <c r="J318" s="77">
        <f t="shared" si="123"/>
        <v>5724.2640000000001</v>
      </c>
      <c r="K318" s="280" t="s">
        <v>1168</v>
      </c>
      <c r="L318" s="281"/>
      <c r="M318" s="281"/>
    </row>
    <row r="319" spans="1:13" s="12" customFormat="1" outlineLevel="1">
      <c r="A319" s="108" t="s">
        <v>1089</v>
      </c>
      <c r="B319" s="108"/>
      <c r="C319" s="109" t="s">
        <v>768</v>
      </c>
      <c r="D319" s="110"/>
      <c r="E319" s="111"/>
      <c r="F319" s="112"/>
      <c r="G319" s="112"/>
      <c r="H319" s="113"/>
      <c r="I319" s="113"/>
      <c r="J319" s="114"/>
      <c r="K319" s="280"/>
      <c r="L319" s="281"/>
      <c r="M319" s="281"/>
    </row>
    <row r="320" spans="1:13" s="12" customFormat="1" outlineLevel="1">
      <c r="A320" s="71" t="s">
        <v>1090</v>
      </c>
      <c r="B320" s="78" t="s">
        <v>158</v>
      </c>
      <c r="C320" s="94" t="s">
        <v>773</v>
      </c>
      <c r="D320" s="79" t="s">
        <v>679</v>
      </c>
      <c r="E320" s="74">
        <v>16</v>
      </c>
      <c r="F320" s="75">
        <v>1.22</v>
      </c>
      <c r="G320" s="75">
        <v>0</v>
      </c>
      <c r="H320" s="75">
        <f t="shared" ref="H320:H322" si="124">F320+G320</f>
        <v>1.22</v>
      </c>
      <c r="I320" s="76">
        <f t="shared" ref="I320:I322" si="125">H320*(1+$J$4)</f>
        <v>1.5860000000000001</v>
      </c>
      <c r="J320" s="77">
        <f t="shared" ref="J320:J322" si="126">E320*I320</f>
        <v>25.376000000000001</v>
      </c>
      <c r="K320" s="280"/>
      <c r="L320" s="281"/>
      <c r="M320" s="281"/>
    </row>
    <row r="321" spans="1:13" s="12" customFormat="1" outlineLevel="1">
      <c r="A321" s="71" t="s">
        <v>1091</v>
      </c>
      <c r="B321" s="78" t="s">
        <v>158</v>
      </c>
      <c r="C321" s="94" t="s">
        <v>774</v>
      </c>
      <c r="D321" s="79" t="s">
        <v>679</v>
      </c>
      <c r="E321" s="74">
        <v>10</v>
      </c>
      <c r="F321" s="75">
        <v>1.7</v>
      </c>
      <c r="G321" s="75">
        <v>0</v>
      </c>
      <c r="H321" s="75">
        <f t="shared" si="124"/>
        <v>1.7</v>
      </c>
      <c r="I321" s="76">
        <f t="shared" si="125"/>
        <v>2.21</v>
      </c>
      <c r="J321" s="77">
        <f t="shared" si="126"/>
        <v>22.1</v>
      </c>
      <c r="K321" s="280" t="s">
        <v>1168</v>
      </c>
      <c r="L321" s="281"/>
      <c r="M321" s="281"/>
    </row>
    <row r="322" spans="1:13" s="12" customFormat="1" outlineLevel="1">
      <c r="A322" s="71" t="s">
        <v>1092</v>
      </c>
      <c r="B322" s="78" t="s">
        <v>158</v>
      </c>
      <c r="C322" s="94" t="s">
        <v>776</v>
      </c>
      <c r="D322" s="79" t="s">
        <v>679</v>
      </c>
      <c r="E322" s="74">
        <v>45</v>
      </c>
      <c r="F322" s="75">
        <v>3</v>
      </c>
      <c r="G322" s="75">
        <v>0</v>
      </c>
      <c r="H322" s="75">
        <f t="shared" si="124"/>
        <v>3</v>
      </c>
      <c r="I322" s="76">
        <f t="shared" si="125"/>
        <v>3.9000000000000004</v>
      </c>
      <c r="J322" s="77">
        <f t="shared" si="126"/>
        <v>175.50000000000003</v>
      </c>
      <c r="K322" s="280"/>
      <c r="L322" s="281"/>
      <c r="M322" s="281"/>
    </row>
    <row r="323" spans="1:13" s="12" customFormat="1" outlineLevel="1">
      <c r="A323" s="108" t="s">
        <v>1093</v>
      </c>
      <c r="B323" s="108"/>
      <c r="C323" s="109" t="s">
        <v>767</v>
      </c>
      <c r="D323" s="110"/>
      <c r="E323" s="111"/>
      <c r="F323" s="112"/>
      <c r="G323" s="112"/>
      <c r="H323" s="113"/>
      <c r="I323" s="113"/>
      <c r="J323" s="114"/>
      <c r="K323" s="280"/>
      <c r="L323" s="281"/>
      <c r="M323" s="281"/>
    </row>
    <row r="324" spans="1:13" s="12" customFormat="1" outlineLevel="1">
      <c r="A324" s="71" t="s">
        <v>1094</v>
      </c>
      <c r="B324" s="78" t="s">
        <v>158</v>
      </c>
      <c r="C324" s="94" t="s">
        <v>769</v>
      </c>
      <c r="D324" s="79" t="s">
        <v>679</v>
      </c>
      <c r="E324" s="74">
        <v>1</v>
      </c>
      <c r="F324" s="75">
        <v>11.25</v>
      </c>
      <c r="G324" s="75">
        <v>0</v>
      </c>
      <c r="H324" s="75">
        <f t="shared" ref="H324" si="127">F324+G324</f>
        <v>11.25</v>
      </c>
      <c r="I324" s="76">
        <f t="shared" ref="I324" si="128">H324*(1+$J$4)</f>
        <v>14.625</v>
      </c>
      <c r="J324" s="77">
        <f t="shared" ref="J324" si="129">E324*I324</f>
        <v>14.625</v>
      </c>
      <c r="K324" s="280" t="s">
        <v>1168</v>
      </c>
      <c r="L324" s="281"/>
      <c r="M324" s="281"/>
    </row>
    <row r="325" spans="1:13" s="12" customFormat="1" outlineLevel="1">
      <c r="A325" s="108" t="s">
        <v>1095</v>
      </c>
      <c r="B325" s="108"/>
      <c r="C325" s="109" t="s">
        <v>788</v>
      </c>
      <c r="D325" s="110"/>
      <c r="E325" s="111"/>
      <c r="F325" s="112"/>
      <c r="G325" s="112"/>
      <c r="H325" s="113"/>
      <c r="I325" s="113"/>
      <c r="J325" s="114"/>
      <c r="K325" s="280"/>
      <c r="L325" s="281"/>
      <c r="M325" s="281"/>
    </row>
    <row r="326" spans="1:13" s="12" customFormat="1" outlineLevel="1">
      <c r="A326" s="71" t="s">
        <v>1096</v>
      </c>
      <c r="B326" s="78" t="s">
        <v>158</v>
      </c>
      <c r="C326" s="94" t="s">
        <v>778</v>
      </c>
      <c r="D326" s="79" t="s">
        <v>679</v>
      </c>
      <c r="E326" s="74">
        <v>7</v>
      </c>
      <c r="F326" s="75">
        <v>75.010000000000005</v>
      </c>
      <c r="G326" s="75">
        <v>0</v>
      </c>
      <c r="H326" s="75">
        <f t="shared" ref="H326:H335" si="130">F326+G326</f>
        <v>75.010000000000005</v>
      </c>
      <c r="I326" s="76">
        <f t="shared" ref="I326:I335" si="131">H326*(1+$J$4)</f>
        <v>97.513000000000005</v>
      </c>
      <c r="J326" s="77">
        <f t="shared" ref="J326:J335" si="132">E326*I326</f>
        <v>682.59100000000001</v>
      </c>
      <c r="K326" s="280"/>
      <c r="L326" s="281"/>
      <c r="M326" s="281"/>
    </row>
    <row r="327" spans="1:13" s="12" customFormat="1" ht="22.5" outlineLevel="1">
      <c r="A327" s="71" t="s">
        <v>1097</v>
      </c>
      <c r="B327" s="78" t="s">
        <v>158</v>
      </c>
      <c r="C327" s="94" t="s">
        <v>779</v>
      </c>
      <c r="D327" s="79" t="s">
        <v>679</v>
      </c>
      <c r="E327" s="74">
        <v>1</v>
      </c>
      <c r="F327" s="75">
        <v>31.99</v>
      </c>
      <c r="G327" s="75">
        <v>0</v>
      </c>
      <c r="H327" s="75">
        <f t="shared" si="130"/>
        <v>31.99</v>
      </c>
      <c r="I327" s="76">
        <f t="shared" si="131"/>
        <v>41.586999999999996</v>
      </c>
      <c r="J327" s="77">
        <f t="shared" si="132"/>
        <v>41.586999999999996</v>
      </c>
      <c r="K327" s="280" t="s">
        <v>1168</v>
      </c>
      <c r="L327" s="281"/>
      <c r="M327" s="281"/>
    </row>
    <row r="328" spans="1:13" s="12" customFormat="1" outlineLevel="1">
      <c r="A328" s="71" t="s">
        <v>1098</v>
      </c>
      <c r="B328" s="78" t="s">
        <v>158</v>
      </c>
      <c r="C328" s="94" t="s">
        <v>787</v>
      </c>
      <c r="D328" s="79" t="s">
        <v>679</v>
      </c>
      <c r="E328" s="74">
        <v>7</v>
      </c>
      <c r="F328" s="75">
        <v>89.99</v>
      </c>
      <c r="G328" s="75">
        <v>0</v>
      </c>
      <c r="H328" s="75">
        <f t="shared" si="130"/>
        <v>89.99</v>
      </c>
      <c r="I328" s="76">
        <f t="shared" si="131"/>
        <v>116.98699999999999</v>
      </c>
      <c r="J328" s="77">
        <f t="shared" si="132"/>
        <v>818.90899999999999</v>
      </c>
      <c r="K328" s="280"/>
      <c r="L328" s="281"/>
      <c r="M328" s="281"/>
    </row>
    <row r="329" spans="1:13" s="12" customFormat="1" outlineLevel="1">
      <c r="A329" s="71" t="s">
        <v>1099</v>
      </c>
      <c r="B329" s="78" t="s">
        <v>158</v>
      </c>
      <c r="C329" s="94" t="s">
        <v>780</v>
      </c>
      <c r="D329" s="79" t="s">
        <v>679</v>
      </c>
      <c r="E329" s="74">
        <v>3</v>
      </c>
      <c r="F329" s="75">
        <v>6.95</v>
      </c>
      <c r="G329" s="75">
        <v>0</v>
      </c>
      <c r="H329" s="75">
        <f t="shared" si="130"/>
        <v>6.95</v>
      </c>
      <c r="I329" s="76">
        <f t="shared" si="131"/>
        <v>9.0350000000000001</v>
      </c>
      <c r="J329" s="77">
        <f t="shared" si="132"/>
        <v>27.105</v>
      </c>
      <c r="K329" s="280"/>
      <c r="L329" s="281"/>
      <c r="M329" s="281"/>
    </row>
    <row r="330" spans="1:13" s="12" customFormat="1" outlineLevel="1">
      <c r="A330" s="71" t="s">
        <v>1100</v>
      </c>
      <c r="B330" s="78" t="s">
        <v>158</v>
      </c>
      <c r="C330" s="94" t="s">
        <v>783</v>
      </c>
      <c r="D330" s="79" t="s">
        <v>679</v>
      </c>
      <c r="E330" s="74">
        <v>2</v>
      </c>
      <c r="F330" s="75">
        <v>11.59</v>
      </c>
      <c r="G330" s="75">
        <v>0</v>
      </c>
      <c r="H330" s="75">
        <f t="shared" si="130"/>
        <v>11.59</v>
      </c>
      <c r="I330" s="76">
        <f t="shared" si="131"/>
        <v>15.067</v>
      </c>
      <c r="J330" s="77">
        <f t="shared" si="132"/>
        <v>30.134</v>
      </c>
      <c r="K330" s="280" t="s">
        <v>1168</v>
      </c>
      <c r="L330" s="281"/>
      <c r="M330" s="281"/>
    </row>
    <row r="331" spans="1:13" s="12" customFormat="1" outlineLevel="1">
      <c r="A331" s="71" t="s">
        <v>1101</v>
      </c>
      <c r="B331" s="78" t="s">
        <v>158</v>
      </c>
      <c r="C331" s="94" t="s">
        <v>796</v>
      </c>
      <c r="D331" s="79" t="s">
        <v>679</v>
      </c>
      <c r="E331" s="74">
        <v>25</v>
      </c>
      <c r="F331" s="75">
        <v>2.09</v>
      </c>
      <c r="G331" s="75">
        <v>0</v>
      </c>
      <c r="H331" s="75">
        <f t="shared" si="130"/>
        <v>2.09</v>
      </c>
      <c r="I331" s="76">
        <f t="shared" si="131"/>
        <v>2.7170000000000001</v>
      </c>
      <c r="J331" s="77">
        <f t="shared" si="132"/>
        <v>67.924999999999997</v>
      </c>
      <c r="K331" s="280"/>
      <c r="L331" s="281"/>
      <c r="M331" s="281"/>
    </row>
    <row r="332" spans="1:13" s="12" customFormat="1" outlineLevel="1">
      <c r="A332" s="71" t="s">
        <v>1102</v>
      </c>
      <c r="B332" s="78" t="s">
        <v>158</v>
      </c>
      <c r="C332" s="94" t="s">
        <v>784</v>
      </c>
      <c r="D332" s="79" t="s">
        <v>679</v>
      </c>
      <c r="E332" s="74">
        <v>7</v>
      </c>
      <c r="F332" s="75">
        <v>3.78</v>
      </c>
      <c r="G332" s="75">
        <v>0</v>
      </c>
      <c r="H332" s="75">
        <f t="shared" si="130"/>
        <v>3.78</v>
      </c>
      <c r="I332" s="76">
        <f t="shared" si="131"/>
        <v>4.9139999999999997</v>
      </c>
      <c r="J332" s="77">
        <f t="shared" si="132"/>
        <v>34.397999999999996</v>
      </c>
      <c r="K332" s="280"/>
      <c r="L332" s="281"/>
      <c r="M332" s="281"/>
    </row>
    <row r="333" spans="1:13" s="12" customFormat="1" outlineLevel="1">
      <c r="A333" s="71" t="s">
        <v>1103</v>
      </c>
      <c r="B333" s="78" t="s">
        <v>158</v>
      </c>
      <c r="C333" s="94" t="s">
        <v>785</v>
      </c>
      <c r="D333" s="79" t="s">
        <v>679</v>
      </c>
      <c r="E333" s="74">
        <v>3</v>
      </c>
      <c r="F333" s="75">
        <v>4.05</v>
      </c>
      <c r="G333" s="75">
        <v>0</v>
      </c>
      <c r="H333" s="75">
        <f t="shared" si="130"/>
        <v>4.05</v>
      </c>
      <c r="I333" s="76">
        <f t="shared" si="131"/>
        <v>5.2649999999999997</v>
      </c>
      <c r="J333" s="77">
        <f t="shared" si="132"/>
        <v>15.794999999999998</v>
      </c>
      <c r="K333" s="280" t="s">
        <v>1168</v>
      </c>
      <c r="L333" s="281"/>
      <c r="M333" s="281"/>
    </row>
    <row r="334" spans="1:13" s="12" customFormat="1" outlineLevel="1">
      <c r="A334" s="71" t="s">
        <v>1104</v>
      </c>
      <c r="B334" s="78" t="s">
        <v>158</v>
      </c>
      <c r="C334" s="94" t="s">
        <v>786</v>
      </c>
      <c r="D334" s="79" t="s">
        <v>679</v>
      </c>
      <c r="E334" s="74">
        <v>4</v>
      </c>
      <c r="F334" s="75">
        <v>6.44</v>
      </c>
      <c r="G334" s="75">
        <v>0</v>
      </c>
      <c r="H334" s="75">
        <f t="shared" si="130"/>
        <v>6.44</v>
      </c>
      <c r="I334" s="76">
        <f t="shared" si="131"/>
        <v>8.3720000000000017</v>
      </c>
      <c r="J334" s="77">
        <f t="shared" si="132"/>
        <v>33.488000000000007</v>
      </c>
      <c r="K334" s="280"/>
      <c r="L334" s="281"/>
      <c r="M334" s="281"/>
    </row>
    <row r="335" spans="1:13" s="12" customFormat="1" outlineLevel="1">
      <c r="A335" s="71" t="s">
        <v>1105</v>
      </c>
      <c r="B335" s="78" t="s">
        <v>158</v>
      </c>
      <c r="C335" s="94" t="s">
        <v>831</v>
      </c>
      <c r="D335" s="79" t="s">
        <v>679</v>
      </c>
      <c r="E335" s="74">
        <v>1</v>
      </c>
      <c r="F335" s="75">
        <v>3.05</v>
      </c>
      <c r="G335" s="75">
        <v>0</v>
      </c>
      <c r="H335" s="75">
        <f t="shared" si="130"/>
        <v>3.05</v>
      </c>
      <c r="I335" s="76">
        <f t="shared" si="131"/>
        <v>3.9649999999999999</v>
      </c>
      <c r="J335" s="77">
        <f t="shared" si="132"/>
        <v>3.9649999999999999</v>
      </c>
      <c r="K335" s="280"/>
      <c r="L335" s="281"/>
      <c r="M335" s="281"/>
    </row>
    <row r="336" spans="1:13" s="12" customFormat="1" outlineLevel="1">
      <c r="A336" s="108" t="s">
        <v>1106</v>
      </c>
      <c r="B336" s="108"/>
      <c r="C336" s="109" t="s">
        <v>789</v>
      </c>
      <c r="D336" s="110"/>
      <c r="E336" s="111"/>
      <c r="F336" s="112"/>
      <c r="G336" s="112"/>
      <c r="H336" s="113"/>
      <c r="I336" s="113"/>
      <c r="J336" s="114"/>
      <c r="K336" s="280" t="s">
        <v>1168</v>
      </c>
      <c r="L336" s="281"/>
      <c r="M336" s="281"/>
    </row>
    <row r="337" spans="1:13" s="12" customFormat="1" outlineLevel="1">
      <c r="A337" s="71" t="s">
        <v>1107</v>
      </c>
      <c r="B337" s="78" t="s">
        <v>158</v>
      </c>
      <c r="C337" s="94" t="s">
        <v>792</v>
      </c>
      <c r="D337" s="79" t="s">
        <v>679</v>
      </c>
      <c r="E337" s="74">
        <v>200</v>
      </c>
      <c r="F337" s="75">
        <v>0.39</v>
      </c>
      <c r="G337" s="75">
        <v>0</v>
      </c>
      <c r="H337" s="75">
        <f t="shared" ref="H337:H344" si="133">F337+G337</f>
        <v>0.39</v>
      </c>
      <c r="I337" s="76">
        <f t="shared" ref="I337:I344" si="134">H337*(1+$J$4)</f>
        <v>0.50700000000000001</v>
      </c>
      <c r="J337" s="77">
        <f t="shared" ref="J337:J344" si="135">E337*I337</f>
        <v>101.4</v>
      </c>
      <c r="K337" s="280"/>
      <c r="L337" s="281"/>
      <c r="M337" s="281"/>
    </row>
    <row r="338" spans="1:13" s="12" customFormat="1" outlineLevel="1">
      <c r="A338" s="71" t="s">
        <v>1108</v>
      </c>
      <c r="B338" s="78" t="s">
        <v>158</v>
      </c>
      <c r="C338" s="94" t="s">
        <v>791</v>
      </c>
      <c r="D338" s="79" t="s">
        <v>679</v>
      </c>
      <c r="E338" s="74">
        <v>30</v>
      </c>
      <c r="F338" s="75">
        <v>0.12</v>
      </c>
      <c r="G338" s="75">
        <v>0</v>
      </c>
      <c r="H338" s="75">
        <f t="shared" si="133"/>
        <v>0.12</v>
      </c>
      <c r="I338" s="76">
        <f t="shared" si="134"/>
        <v>0.156</v>
      </c>
      <c r="J338" s="77">
        <f t="shared" si="135"/>
        <v>4.68</v>
      </c>
      <c r="K338" s="280"/>
      <c r="L338" s="281"/>
      <c r="M338" s="281"/>
    </row>
    <row r="339" spans="1:13" s="12" customFormat="1" outlineLevel="1">
      <c r="A339" s="71" t="s">
        <v>1109</v>
      </c>
      <c r="B339" s="78" t="s">
        <v>158</v>
      </c>
      <c r="C339" s="94" t="s">
        <v>790</v>
      </c>
      <c r="D339" s="79" t="s">
        <v>679</v>
      </c>
      <c r="E339" s="74">
        <v>200</v>
      </c>
      <c r="F339" s="75">
        <v>0.43</v>
      </c>
      <c r="G339" s="75">
        <v>0</v>
      </c>
      <c r="H339" s="75">
        <f t="shared" si="133"/>
        <v>0.43</v>
      </c>
      <c r="I339" s="76">
        <f t="shared" si="134"/>
        <v>0.55900000000000005</v>
      </c>
      <c r="J339" s="77">
        <f t="shared" si="135"/>
        <v>111.80000000000001</v>
      </c>
      <c r="K339" s="280" t="s">
        <v>1168</v>
      </c>
      <c r="L339" s="281"/>
      <c r="M339" s="281"/>
    </row>
    <row r="340" spans="1:13" s="12" customFormat="1" outlineLevel="1">
      <c r="A340" s="71" t="s">
        <v>1110</v>
      </c>
      <c r="B340" s="78" t="s">
        <v>158</v>
      </c>
      <c r="C340" s="94" t="s">
        <v>793</v>
      </c>
      <c r="D340" s="79" t="s">
        <v>679</v>
      </c>
      <c r="E340" s="74">
        <v>30</v>
      </c>
      <c r="F340" s="75">
        <v>0.16</v>
      </c>
      <c r="G340" s="75">
        <v>0</v>
      </c>
      <c r="H340" s="75">
        <f t="shared" si="133"/>
        <v>0.16</v>
      </c>
      <c r="I340" s="76">
        <f t="shared" si="134"/>
        <v>0.20800000000000002</v>
      </c>
      <c r="J340" s="77">
        <f t="shared" si="135"/>
        <v>6.24</v>
      </c>
      <c r="K340" s="280"/>
      <c r="L340" s="281"/>
      <c r="M340" s="281"/>
    </row>
    <row r="341" spans="1:13" s="12" customFormat="1" outlineLevel="1">
      <c r="A341" s="71" t="s">
        <v>1111</v>
      </c>
      <c r="B341" s="78" t="s">
        <v>158</v>
      </c>
      <c r="C341" s="94" t="s">
        <v>795</v>
      </c>
      <c r="D341" s="79" t="s">
        <v>679</v>
      </c>
      <c r="E341" s="74">
        <v>200</v>
      </c>
      <c r="F341" s="75">
        <v>1.52</v>
      </c>
      <c r="G341" s="75">
        <v>0</v>
      </c>
      <c r="H341" s="75">
        <f t="shared" si="133"/>
        <v>1.52</v>
      </c>
      <c r="I341" s="76">
        <f t="shared" si="134"/>
        <v>1.9760000000000002</v>
      </c>
      <c r="J341" s="77">
        <f t="shared" si="135"/>
        <v>395.20000000000005</v>
      </c>
      <c r="K341" s="280"/>
      <c r="L341" s="281"/>
      <c r="M341" s="281"/>
    </row>
    <row r="342" spans="1:13" s="12" customFormat="1" outlineLevel="1">
      <c r="A342" s="71" t="s">
        <v>1112</v>
      </c>
      <c r="B342" s="78" t="s">
        <v>158</v>
      </c>
      <c r="C342" s="94" t="s">
        <v>794</v>
      </c>
      <c r="D342" s="79" t="s">
        <v>679</v>
      </c>
      <c r="E342" s="74">
        <v>30</v>
      </c>
      <c r="F342" s="75">
        <v>3.32</v>
      </c>
      <c r="G342" s="75">
        <v>0</v>
      </c>
      <c r="H342" s="75">
        <f t="shared" si="133"/>
        <v>3.32</v>
      </c>
      <c r="I342" s="76">
        <f t="shared" si="134"/>
        <v>4.3159999999999998</v>
      </c>
      <c r="J342" s="77">
        <f t="shared" si="135"/>
        <v>129.47999999999999</v>
      </c>
      <c r="K342" s="280" t="s">
        <v>1168</v>
      </c>
      <c r="L342" s="281"/>
      <c r="M342" s="281"/>
    </row>
    <row r="343" spans="1:13" s="12" customFormat="1" outlineLevel="1">
      <c r="A343" s="71" t="s">
        <v>1113</v>
      </c>
      <c r="B343" s="78" t="s">
        <v>158</v>
      </c>
      <c r="C343" s="94" t="s">
        <v>797</v>
      </c>
      <c r="D343" s="79" t="s">
        <v>679</v>
      </c>
      <c r="E343" s="74">
        <v>41</v>
      </c>
      <c r="F343" s="75">
        <v>17.95</v>
      </c>
      <c r="G343" s="75">
        <v>0</v>
      </c>
      <c r="H343" s="75">
        <f t="shared" si="133"/>
        <v>17.95</v>
      </c>
      <c r="I343" s="76">
        <f t="shared" si="134"/>
        <v>23.335000000000001</v>
      </c>
      <c r="J343" s="77">
        <f t="shared" si="135"/>
        <v>956.73500000000001</v>
      </c>
      <c r="K343" s="280"/>
      <c r="L343" s="281"/>
      <c r="M343" s="281"/>
    </row>
    <row r="344" spans="1:13" s="12" customFormat="1" outlineLevel="1">
      <c r="A344" s="71" t="s">
        <v>1114</v>
      </c>
      <c r="B344" s="78" t="s">
        <v>158</v>
      </c>
      <c r="C344" s="94" t="s">
        <v>798</v>
      </c>
      <c r="D344" s="79" t="s">
        <v>679</v>
      </c>
      <c r="E344" s="74">
        <v>3</v>
      </c>
      <c r="F344" s="75">
        <v>29.99</v>
      </c>
      <c r="G344" s="75">
        <v>0</v>
      </c>
      <c r="H344" s="75">
        <f t="shared" si="133"/>
        <v>29.99</v>
      </c>
      <c r="I344" s="76">
        <f t="shared" si="134"/>
        <v>38.987000000000002</v>
      </c>
      <c r="J344" s="77">
        <f t="shared" si="135"/>
        <v>116.96100000000001</v>
      </c>
      <c r="K344" s="280"/>
      <c r="L344" s="281"/>
      <c r="M344" s="281"/>
    </row>
    <row r="345" spans="1:13" s="12" customFormat="1" outlineLevel="1">
      <c r="A345" s="108" t="s">
        <v>1115</v>
      </c>
      <c r="B345" s="108"/>
      <c r="C345" s="109" t="s">
        <v>684</v>
      </c>
      <c r="D345" s="110"/>
      <c r="E345" s="111"/>
      <c r="F345" s="112"/>
      <c r="G345" s="112"/>
      <c r="H345" s="113"/>
      <c r="I345" s="113"/>
      <c r="J345" s="114"/>
      <c r="K345" s="280" t="s">
        <v>1168</v>
      </c>
      <c r="L345" s="281"/>
      <c r="M345" s="281"/>
    </row>
    <row r="346" spans="1:13" s="35" customFormat="1" ht="33.75" outlineLevel="1">
      <c r="A346" s="97" t="s">
        <v>1116</v>
      </c>
      <c r="B346" s="118"/>
      <c r="C346" s="119" t="s">
        <v>832</v>
      </c>
      <c r="D346" s="120" t="s">
        <v>679</v>
      </c>
      <c r="E346" s="121">
        <v>1</v>
      </c>
      <c r="F346" s="102"/>
      <c r="G346" s="102"/>
      <c r="H346" s="102"/>
      <c r="I346" s="122"/>
      <c r="J346" s="123"/>
      <c r="K346" s="280"/>
      <c r="L346" s="281"/>
      <c r="M346" s="281"/>
    </row>
    <row r="347" spans="1:13" s="12" customFormat="1" outlineLevel="1">
      <c r="A347" s="71" t="s">
        <v>1117</v>
      </c>
      <c r="B347" s="78" t="s">
        <v>158</v>
      </c>
      <c r="C347" s="94" t="s">
        <v>834</v>
      </c>
      <c r="D347" s="79" t="s">
        <v>679</v>
      </c>
      <c r="E347" s="74">
        <v>1</v>
      </c>
      <c r="F347" s="75">
        <v>3430</v>
      </c>
      <c r="G347" s="75">
        <v>0</v>
      </c>
      <c r="H347" s="75">
        <f t="shared" ref="H347:H371" si="136">F347+G347</f>
        <v>3430</v>
      </c>
      <c r="I347" s="76">
        <f t="shared" ref="I347:I371" si="137">H347*(1+$J$4)</f>
        <v>4459</v>
      </c>
      <c r="J347" s="77">
        <f t="shared" ref="J347:J371" si="138">E347*I347</f>
        <v>4459</v>
      </c>
      <c r="K347" s="280"/>
      <c r="L347" s="281"/>
      <c r="M347" s="281"/>
    </row>
    <row r="348" spans="1:13" s="12" customFormat="1" outlineLevel="1">
      <c r="A348" s="71" t="s">
        <v>1118</v>
      </c>
      <c r="B348" s="78" t="s">
        <v>158</v>
      </c>
      <c r="C348" s="94" t="s">
        <v>835</v>
      </c>
      <c r="D348" s="79" t="s">
        <v>679</v>
      </c>
      <c r="E348" s="74">
        <v>1</v>
      </c>
      <c r="F348" s="75">
        <v>315</v>
      </c>
      <c r="G348" s="75">
        <v>0</v>
      </c>
      <c r="H348" s="75">
        <f t="shared" si="136"/>
        <v>315</v>
      </c>
      <c r="I348" s="76">
        <f t="shared" si="137"/>
        <v>409.5</v>
      </c>
      <c r="J348" s="77">
        <f t="shared" si="138"/>
        <v>409.5</v>
      </c>
      <c r="K348" s="280" t="s">
        <v>1168</v>
      </c>
      <c r="L348" s="281"/>
      <c r="M348" s="281"/>
    </row>
    <row r="349" spans="1:13" s="12" customFormat="1" outlineLevel="1">
      <c r="A349" s="71" t="s">
        <v>1119</v>
      </c>
      <c r="B349" s="78" t="s">
        <v>158</v>
      </c>
      <c r="C349" s="94" t="s">
        <v>836</v>
      </c>
      <c r="D349" s="79" t="s">
        <v>679</v>
      </c>
      <c r="E349" s="74">
        <v>2</v>
      </c>
      <c r="F349" s="75">
        <v>120</v>
      </c>
      <c r="G349" s="75">
        <v>0</v>
      </c>
      <c r="H349" s="75">
        <f t="shared" si="136"/>
        <v>120</v>
      </c>
      <c r="I349" s="76">
        <f t="shared" si="137"/>
        <v>156</v>
      </c>
      <c r="J349" s="77">
        <f t="shared" si="138"/>
        <v>312</v>
      </c>
      <c r="K349" s="280"/>
      <c r="L349" s="281"/>
      <c r="M349" s="281"/>
    </row>
    <row r="350" spans="1:13" s="12" customFormat="1" outlineLevel="1">
      <c r="A350" s="71" t="s">
        <v>1120</v>
      </c>
      <c r="B350" s="78" t="s">
        <v>158</v>
      </c>
      <c r="C350" s="94" t="s">
        <v>837</v>
      </c>
      <c r="D350" s="79" t="s">
        <v>679</v>
      </c>
      <c r="E350" s="74">
        <v>6</v>
      </c>
      <c r="F350" s="75">
        <v>38</v>
      </c>
      <c r="G350" s="75">
        <v>0</v>
      </c>
      <c r="H350" s="75">
        <f t="shared" si="136"/>
        <v>38</v>
      </c>
      <c r="I350" s="76">
        <f t="shared" si="137"/>
        <v>49.4</v>
      </c>
      <c r="J350" s="77">
        <f t="shared" si="138"/>
        <v>296.39999999999998</v>
      </c>
      <c r="K350" s="280"/>
      <c r="L350" s="281"/>
      <c r="M350" s="281"/>
    </row>
    <row r="351" spans="1:13" s="12" customFormat="1" outlineLevel="1">
      <c r="A351" s="71" t="s">
        <v>1121</v>
      </c>
      <c r="B351" s="78" t="s">
        <v>158</v>
      </c>
      <c r="C351" s="94" t="s">
        <v>838</v>
      </c>
      <c r="D351" s="79" t="s">
        <v>679</v>
      </c>
      <c r="E351" s="74">
        <v>1</v>
      </c>
      <c r="F351" s="75">
        <v>250</v>
      </c>
      <c r="G351" s="75">
        <v>0</v>
      </c>
      <c r="H351" s="75">
        <f t="shared" si="136"/>
        <v>250</v>
      </c>
      <c r="I351" s="76">
        <f t="shared" si="137"/>
        <v>325</v>
      </c>
      <c r="J351" s="77">
        <f t="shared" si="138"/>
        <v>325</v>
      </c>
      <c r="K351" s="280" t="s">
        <v>1168</v>
      </c>
      <c r="L351" s="281"/>
      <c r="M351" s="281"/>
    </row>
    <row r="352" spans="1:13" s="12" customFormat="1" outlineLevel="1">
      <c r="A352" s="71" t="s">
        <v>1122</v>
      </c>
      <c r="B352" s="78" t="s">
        <v>158</v>
      </c>
      <c r="C352" s="94" t="s">
        <v>839</v>
      </c>
      <c r="D352" s="79" t="s">
        <v>679</v>
      </c>
      <c r="E352" s="74">
        <v>1</v>
      </c>
      <c r="F352" s="75">
        <v>116</v>
      </c>
      <c r="G352" s="75">
        <v>0</v>
      </c>
      <c r="H352" s="75">
        <f t="shared" si="136"/>
        <v>116</v>
      </c>
      <c r="I352" s="76">
        <f t="shared" si="137"/>
        <v>150.80000000000001</v>
      </c>
      <c r="J352" s="77">
        <f t="shared" si="138"/>
        <v>150.80000000000001</v>
      </c>
      <c r="K352" s="280"/>
      <c r="L352" s="281"/>
      <c r="M352" s="281"/>
    </row>
    <row r="353" spans="1:13" s="12" customFormat="1" outlineLevel="1">
      <c r="A353" s="71" t="s">
        <v>1123</v>
      </c>
      <c r="B353" s="78" t="s">
        <v>158</v>
      </c>
      <c r="C353" s="94" t="s">
        <v>840</v>
      </c>
      <c r="D353" s="79" t="s">
        <v>679</v>
      </c>
      <c r="E353" s="74">
        <v>1</v>
      </c>
      <c r="F353" s="75">
        <v>15.62</v>
      </c>
      <c r="G353" s="75">
        <v>0</v>
      </c>
      <c r="H353" s="75">
        <f t="shared" si="136"/>
        <v>15.62</v>
      </c>
      <c r="I353" s="76">
        <f t="shared" si="137"/>
        <v>20.306000000000001</v>
      </c>
      <c r="J353" s="77">
        <f t="shared" si="138"/>
        <v>20.306000000000001</v>
      </c>
      <c r="K353" s="280"/>
      <c r="L353" s="281"/>
      <c r="M353" s="281"/>
    </row>
    <row r="354" spans="1:13" s="12" customFormat="1" outlineLevel="1">
      <c r="A354" s="71" t="s">
        <v>1124</v>
      </c>
      <c r="B354" s="78" t="s">
        <v>158</v>
      </c>
      <c r="C354" s="94" t="s">
        <v>841</v>
      </c>
      <c r="D354" s="79" t="s">
        <v>679</v>
      </c>
      <c r="E354" s="74">
        <v>3</v>
      </c>
      <c r="F354" s="75">
        <v>3250</v>
      </c>
      <c r="G354" s="75">
        <v>0</v>
      </c>
      <c r="H354" s="75">
        <f t="shared" si="136"/>
        <v>3250</v>
      </c>
      <c r="I354" s="76">
        <f t="shared" si="137"/>
        <v>4225</v>
      </c>
      <c r="J354" s="77">
        <f t="shared" si="138"/>
        <v>12675</v>
      </c>
      <c r="K354" s="280" t="s">
        <v>1168</v>
      </c>
      <c r="L354" s="281"/>
      <c r="M354" s="281"/>
    </row>
    <row r="355" spans="1:13" s="12" customFormat="1" outlineLevel="1">
      <c r="A355" s="71" t="s">
        <v>1125</v>
      </c>
      <c r="B355" s="78" t="s">
        <v>158</v>
      </c>
      <c r="C355" s="94" t="s">
        <v>842</v>
      </c>
      <c r="D355" s="79" t="s">
        <v>679</v>
      </c>
      <c r="E355" s="74">
        <v>3</v>
      </c>
      <c r="F355" s="75">
        <v>565</v>
      </c>
      <c r="G355" s="75">
        <v>0</v>
      </c>
      <c r="H355" s="75">
        <f t="shared" si="136"/>
        <v>565</v>
      </c>
      <c r="I355" s="76">
        <f t="shared" si="137"/>
        <v>734.5</v>
      </c>
      <c r="J355" s="77">
        <f t="shared" si="138"/>
        <v>2203.5</v>
      </c>
      <c r="K355" s="280"/>
      <c r="L355" s="281"/>
      <c r="M355" s="281"/>
    </row>
    <row r="356" spans="1:13" s="12" customFormat="1" outlineLevel="1">
      <c r="A356" s="71" t="s">
        <v>1126</v>
      </c>
      <c r="B356" s="78" t="s">
        <v>158</v>
      </c>
      <c r="C356" s="94" t="s">
        <v>843</v>
      </c>
      <c r="D356" s="79" t="s">
        <v>679</v>
      </c>
      <c r="E356" s="74">
        <v>1</v>
      </c>
      <c r="F356" s="75">
        <v>565</v>
      </c>
      <c r="G356" s="75">
        <v>0</v>
      </c>
      <c r="H356" s="75">
        <f t="shared" si="136"/>
        <v>565</v>
      </c>
      <c r="I356" s="76">
        <f t="shared" si="137"/>
        <v>734.5</v>
      </c>
      <c r="J356" s="77">
        <f t="shared" si="138"/>
        <v>734.5</v>
      </c>
      <c r="K356" s="280"/>
      <c r="L356" s="281"/>
      <c r="M356" s="281"/>
    </row>
    <row r="357" spans="1:13" s="12" customFormat="1" outlineLevel="1">
      <c r="A357" s="71" t="s">
        <v>1127</v>
      </c>
      <c r="B357" s="78" t="s">
        <v>158</v>
      </c>
      <c r="C357" s="94" t="s">
        <v>844</v>
      </c>
      <c r="D357" s="79" t="s">
        <v>679</v>
      </c>
      <c r="E357" s="74">
        <v>2</v>
      </c>
      <c r="F357" s="75">
        <v>34</v>
      </c>
      <c r="G357" s="75">
        <v>0</v>
      </c>
      <c r="H357" s="75">
        <f t="shared" si="136"/>
        <v>34</v>
      </c>
      <c r="I357" s="76">
        <f t="shared" si="137"/>
        <v>44.2</v>
      </c>
      <c r="J357" s="77">
        <f t="shared" si="138"/>
        <v>88.4</v>
      </c>
      <c r="K357" s="280" t="s">
        <v>1168</v>
      </c>
      <c r="L357" s="281"/>
      <c r="M357" s="281"/>
    </row>
    <row r="358" spans="1:13" s="12" customFormat="1" ht="22.5" outlineLevel="1">
      <c r="A358" s="71" t="s">
        <v>1128</v>
      </c>
      <c r="B358" s="78" t="s">
        <v>158</v>
      </c>
      <c r="C358" s="94" t="s">
        <v>845</v>
      </c>
      <c r="D358" s="79" t="s">
        <v>679</v>
      </c>
      <c r="E358" s="74">
        <v>2</v>
      </c>
      <c r="F358" s="75">
        <v>27.2</v>
      </c>
      <c r="G358" s="75">
        <v>0</v>
      </c>
      <c r="H358" s="75">
        <f t="shared" si="136"/>
        <v>27.2</v>
      </c>
      <c r="I358" s="76">
        <f t="shared" si="137"/>
        <v>35.36</v>
      </c>
      <c r="J358" s="77">
        <f t="shared" si="138"/>
        <v>70.72</v>
      </c>
      <c r="K358" s="280"/>
      <c r="L358" s="281"/>
      <c r="M358" s="281"/>
    </row>
    <row r="359" spans="1:13" s="35" customFormat="1" ht="33.75" outlineLevel="1">
      <c r="A359" s="97" t="s">
        <v>1129</v>
      </c>
      <c r="B359" s="118"/>
      <c r="C359" s="119" t="s">
        <v>833</v>
      </c>
      <c r="D359" s="120" t="s">
        <v>679</v>
      </c>
      <c r="E359" s="121">
        <v>1</v>
      </c>
      <c r="F359" s="102"/>
      <c r="G359" s="102"/>
      <c r="H359" s="102"/>
      <c r="I359" s="122"/>
      <c r="J359" s="123"/>
      <c r="K359" s="280"/>
      <c r="L359" s="281"/>
      <c r="M359" s="281"/>
    </row>
    <row r="360" spans="1:13" s="12" customFormat="1" outlineLevel="1">
      <c r="A360" s="71" t="s">
        <v>1130</v>
      </c>
      <c r="B360" s="78" t="s">
        <v>158</v>
      </c>
      <c r="C360" s="94" t="s">
        <v>846</v>
      </c>
      <c r="D360" s="79" t="s">
        <v>679</v>
      </c>
      <c r="E360" s="74">
        <v>1</v>
      </c>
      <c r="F360" s="75">
        <v>2890</v>
      </c>
      <c r="G360" s="75">
        <v>0</v>
      </c>
      <c r="H360" s="75">
        <f t="shared" si="136"/>
        <v>2890</v>
      </c>
      <c r="I360" s="76">
        <f t="shared" si="137"/>
        <v>3757</v>
      </c>
      <c r="J360" s="77">
        <f t="shared" si="138"/>
        <v>3757</v>
      </c>
      <c r="K360" s="280" t="s">
        <v>1168</v>
      </c>
      <c r="L360" s="281"/>
      <c r="M360" s="281"/>
    </row>
    <row r="361" spans="1:13" s="12" customFormat="1" outlineLevel="1">
      <c r="A361" s="71" t="s">
        <v>1131</v>
      </c>
      <c r="B361" s="78" t="s">
        <v>158</v>
      </c>
      <c r="C361" s="94" t="s">
        <v>835</v>
      </c>
      <c r="D361" s="79" t="s">
        <v>679</v>
      </c>
      <c r="E361" s="74">
        <v>1</v>
      </c>
      <c r="F361" s="75">
        <v>315</v>
      </c>
      <c r="G361" s="75">
        <v>0</v>
      </c>
      <c r="H361" s="75">
        <f t="shared" si="136"/>
        <v>315</v>
      </c>
      <c r="I361" s="76">
        <f t="shared" si="137"/>
        <v>409.5</v>
      </c>
      <c r="J361" s="77">
        <f t="shared" si="138"/>
        <v>409.5</v>
      </c>
      <c r="K361" s="280"/>
      <c r="L361" s="281"/>
      <c r="M361" s="281"/>
    </row>
    <row r="362" spans="1:13" s="12" customFormat="1" outlineLevel="1">
      <c r="A362" s="71" t="s">
        <v>1132</v>
      </c>
      <c r="B362" s="78" t="s">
        <v>158</v>
      </c>
      <c r="C362" s="94" t="s">
        <v>836</v>
      </c>
      <c r="D362" s="79" t="s">
        <v>679</v>
      </c>
      <c r="E362" s="74">
        <v>2</v>
      </c>
      <c r="F362" s="75">
        <v>120</v>
      </c>
      <c r="G362" s="75">
        <v>0</v>
      </c>
      <c r="H362" s="75">
        <f t="shared" si="136"/>
        <v>120</v>
      </c>
      <c r="I362" s="76">
        <f t="shared" si="137"/>
        <v>156</v>
      </c>
      <c r="J362" s="77">
        <f t="shared" si="138"/>
        <v>312</v>
      </c>
      <c r="K362" s="280"/>
      <c r="L362" s="281"/>
      <c r="M362" s="281"/>
    </row>
    <row r="363" spans="1:13" s="12" customFormat="1" outlineLevel="1">
      <c r="A363" s="71" t="s">
        <v>1133</v>
      </c>
      <c r="B363" s="78" t="s">
        <v>158</v>
      </c>
      <c r="C363" s="94" t="s">
        <v>837</v>
      </c>
      <c r="D363" s="79" t="s">
        <v>679</v>
      </c>
      <c r="E363" s="74">
        <v>4</v>
      </c>
      <c r="F363" s="75">
        <v>38</v>
      </c>
      <c r="G363" s="75">
        <v>0</v>
      </c>
      <c r="H363" s="75">
        <f t="shared" si="136"/>
        <v>38</v>
      </c>
      <c r="I363" s="76">
        <f t="shared" si="137"/>
        <v>49.4</v>
      </c>
      <c r="J363" s="77">
        <f t="shared" si="138"/>
        <v>197.6</v>
      </c>
      <c r="K363" s="280" t="s">
        <v>1168</v>
      </c>
      <c r="L363" s="281"/>
      <c r="M363" s="281"/>
    </row>
    <row r="364" spans="1:13" s="12" customFormat="1" outlineLevel="1">
      <c r="A364" s="71" t="s">
        <v>1134</v>
      </c>
      <c r="B364" s="78" t="s">
        <v>158</v>
      </c>
      <c r="C364" s="94" t="s">
        <v>838</v>
      </c>
      <c r="D364" s="79" t="s">
        <v>679</v>
      </c>
      <c r="E364" s="74">
        <v>1</v>
      </c>
      <c r="F364" s="75">
        <v>250</v>
      </c>
      <c r="G364" s="75">
        <v>0</v>
      </c>
      <c r="H364" s="75">
        <f t="shared" si="136"/>
        <v>250</v>
      </c>
      <c r="I364" s="76">
        <f t="shared" si="137"/>
        <v>325</v>
      </c>
      <c r="J364" s="77">
        <f t="shared" si="138"/>
        <v>325</v>
      </c>
      <c r="K364" s="280"/>
      <c r="L364" s="281"/>
      <c r="M364" s="281"/>
    </row>
    <row r="365" spans="1:13" s="12" customFormat="1" outlineLevel="1">
      <c r="A365" s="71" t="s">
        <v>1135</v>
      </c>
      <c r="B365" s="78" t="s">
        <v>158</v>
      </c>
      <c r="C365" s="94" t="s">
        <v>839</v>
      </c>
      <c r="D365" s="79" t="s">
        <v>679</v>
      </c>
      <c r="E365" s="74">
        <v>1</v>
      </c>
      <c r="F365" s="75">
        <v>116</v>
      </c>
      <c r="G365" s="75">
        <v>0</v>
      </c>
      <c r="H365" s="75">
        <f t="shared" si="136"/>
        <v>116</v>
      </c>
      <c r="I365" s="76">
        <f t="shared" si="137"/>
        <v>150.80000000000001</v>
      </c>
      <c r="J365" s="77">
        <f t="shared" si="138"/>
        <v>150.80000000000001</v>
      </c>
      <c r="K365" s="280"/>
      <c r="L365" s="281"/>
      <c r="M365" s="281"/>
    </row>
    <row r="366" spans="1:13" s="12" customFormat="1" outlineLevel="1">
      <c r="A366" s="71" t="s">
        <v>1136</v>
      </c>
      <c r="B366" s="78" t="s">
        <v>158</v>
      </c>
      <c r="C366" s="94" t="s">
        <v>840</v>
      </c>
      <c r="D366" s="79" t="s">
        <v>679</v>
      </c>
      <c r="E366" s="74">
        <v>1</v>
      </c>
      <c r="F366" s="75">
        <v>15.62</v>
      </c>
      <c r="G366" s="75">
        <v>0</v>
      </c>
      <c r="H366" s="75">
        <f t="shared" si="136"/>
        <v>15.62</v>
      </c>
      <c r="I366" s="76">
        <f t="shared" si="137"/>
        <v>20.306000000000001</v>
      </c>
      <c r="J366" s="77">
        <f t="shared" si="138"/>
        <v>20.306000000000001</v>
      </c>
      <c r="K366" s="280" t="s">
        <v>1168</v>
      </c>
      <c r="L366" s="281"/>
      <c r="M366" s="281"/>
    </row>
    <row r="367" spans="1:13" s="12" customFormat="1" outlineLevel="1">
      <c r="A367" s="71" t="s">
        <v>1137</v>
      </c>
      <c r="B367" s="78" t="s">
        <v>158</v>
      </c>
      <c r="C367" s="94" t="s">
        <v>841</v>
      </c>
      <c r="D367" s="79" t="s">
        <v>679</v>
      </c>
      <c r="E367" s="74">
        <v>2</v>
      </c>
      <c r="F367" s="75">
        <v>3250</v>
      </c>
      <c r="G367" s="75">
        <v>0</v>
      </c>
      <c r="H367" s="75">
        <f t="shared" si="136"/>
        <v>3250</v>
      </c>
      <c r="I367" s="76">
        <f t="shared" si="137"/>
        <v>4225</v>
      </c>
      <c r="J367" s="77">
        <f t="shared" si="138"/>
        <v>8450</v>
      </c>
      <c r="K367" s="280"/>
      <c r="L367" s="281"/>
      <c r="M367" s="281"/>
    </row>
    <row r="368" spans="1:13" s="12" customFormat="1" outlineLevel="1">
      <c r="A368" s="71" t="s">
        <v>1138</v>
      </c>
      <c r="B368" s="78" t="s">
        <v>158</v>
      </c>
      <c r="C368" s="94" t="s">
        <v>842</v>
      </c>
      <c r="D368" s="79" t="s">
        <v>679</v>
      </c>
      <c r="E368" s="74">
        <v>2</v>
      </c>
      <c r="F368" s="75">
        <v>565</v>
      </c>
      <c r="G368" s="75">
        <v>0</v>
      </c>
      <c r="H368" s="75">
        <f t="shared" si="136"/>
        <v>565</v>
      </c>
      <c r="I368" s="76">
        <f t="shared" si="137"/>
        <v>734.5</v>
      </c>
      <c r="J368" s="77">
        <f t="shared" si="138"/>
        <v>1469</v>
      </c>
      <c r="K368" s="280"/>
      <c r="L368" s="281"/>
      <c r="M368" s="281"/>
    </row>
    <row r="369" spans="1:13" s="12" customFormat="1" outlineLevel="1">
      <c r="A369" s="71" t="s">
        <v>1139</v>
      </c>
      <c r="B369" s="78" t="s">
        <v>158</v>
      </c>
      <c r="C369" s="94" t="s">
        <v>843</v>
      </c>
      <c r="D369" s="79" t="s">
        <v>679</v>
      </c>
      <c r="E369" s="74">
        <v>1</v>
      </c>
      <c r="F369" s="75">
        <v>565</v>
      </c>
      <c r="G369" s="75">
        <v>0</v>
      </c>
      <c r="H369" s="75">
        <f t="shared" si="136"/>
        <v>565</v>
      </c>
      <c r="I369" s="76">
        <f t="shared" si="137"/>
        <v>734.5</v>
      </c>
      <c r="J369" s="77">
        <f t="shared" si="138"/>
        <v>734.5</v>
      </c>
      <c r="K369" s="280" t="s">
        <v>1168</v>
      </c>
      <c r="L369" s="281"/>
      <c r="M369" s="281"/>
    </row>
    <row r="370" spans="1:13" s="12" customFormat="1" outlineLevel="1">
      <c r="A370" s="71" t="s">
        <v>1140</v>
      </c>
      <c r="B370" s="78" t="s">
        <v>158</v>
      </c>
      <c r="C370" s="94" t="s">
        <v>844</v>
      </c>
      <c r="D370" s="79" t="s">
        <v>679</v>
      </c>
      <c r="E370" s="74">
        <v>2</v>
      </c>
      <c r="F370" s="75">
        <v>34</v>
      </c>
      <c r="G370" s="75">
        <v>0</v>
      </c>
      <c r="H370" s="75">
        <f t="shared" si="136"/>
        <v>34</v>
      </c>
      <c r="I370" s="76">
        <f t="shared" si="137"/>
        <v>44.2</v>
      </c>
      <c r="J370" s="77">
        <f t="shared" si="138"/>
        <v>88.4</v>
      </c>
      <c r="K370" s="280"/>
      <c r="L370" s="281"/>
      <c r="M370" s="281"/>
    </row>
    <row r="371" spans="1:13" s="12" customFormat="1" ht="22.5" outlineLevel="1">
      <c r="A371" s="71" t="s">
        <v>1141</v>
      </c>
      <c r="B371" s="78" t="s">
        <v>158</v>
      </c>
      <c r="C371" s="94" t="s">
        <v>845</v>
      </c>
      <c r="D371" s="79" t="s">
        <v>679</v>
      </c>
      <c r="E371" s="74">
        <v>2</v>
      </c>
      <c r="F371" s="75">
        <v>27.2</v>
      </c>
      <c r="G371" s="75">
        <v>0</v>
      </c>
      <c r="H371" s="75">
        <f t="shared" si="136"/>
        <v>27.2</v>
      </c>
      <c r="I371" s="76">
        <f t="shared" si="137"/>
        <v>35.36</v>
      </c>
      <c r="J371" s="77">
        <f t="shared" si="138"/>
        <v>70.72</v>
      </c>
      <c r="K371" s="280"/>
      <c r="L371" s="281"/>
      <c r="M371" s="281"/>
    </row>
    <row r="372" spans="1:13" s="12" customFormat="1" outlineLevel="1">
      <c r="A372" s="108" t="s">
        <v>1142</v>
      </c>
      <c r="B372" s="108"/>
      <c r="C372" s="109" t="s">
        <v>799</v>
      </c>
      <c r="D372" s="110"/>
      <c r="E372" s="111"/>
      <c r="F372" s="112"/>
      <c r="G372" s="112"/>
      <c r="H372" s="113"/>
      <c r="I372" s="113"/>
      <c r="J372" s="114"/>
      <c r="K372" s="280" t="s">
        <v>1168</v>
      </c>
      <c r="L372" s="281"/>
      <c r="M372" s="281"/>
    </row>
    <row r="373" spans="1:13" s="12" customFormat="1" outlineLevel="1">
      <c r="A373" s="71" t="s">
        <v>1143</v>
      </c>
      <c r="B373" s="78" t="s">
        <v>158</v>
      </c>
      <c r="C373" s="94" t="s">
        <v>825</v>
      </c>
      <c r="D373" s="79" t="s">
        <v>679</v>
      </c>
      <c r="E373" s="74">
        <v>5</v>
      </c>
      <c r="F373" s="75">
        <v>47.95</v>
      </c>
      <c r="G373" s="75">
        <v>0</v>
      </c>
      <c r="H373" s="75">
        <f t="shared" ref="H373:H376" si="139">F373+G373</f>
        <v>47.95</v>
      </c>
      <c r="I373" s="76">
        <f t="shared" ref="I373:I376" si="140">H373*(1+$J$4)</f>
        <v>62.335000000000008</v>
      </c>
      <c r="J373" s="77">
        <f t="shared" ref="J373:J376" si="141">E373*I373</f>
        <v>311.67500000000007</v>
      </c>
      <c r="K373" s="280"/>
      <c r="L373" s="281"/>
      <c r="M373" s="281"/>
    </row>
    <row r="374" spans="1:13" s="12" customFormat="1" outlineLevel="1">
      <c r="A374" s="71" t="s">
        <v>1144</v>
      </c>
      <c r="B374" s="78" t="s">
        <v>158</v>
      </c>
      <c r="C374" s="94" t="s">
        <v>826</v>
      </c>
      <c r="D374" s="79" t="s">
        <v>679</v>
      </c>
      <c r="E374" s="74">
        <v>9</v>
      </c>
      <c r="F374" s="75">
        <v>90.73</v>
      </c>
      <c r="G374" s="75">
        <v>0</v>
      </c>
      <c r="H374" s="75">
        <f t="shared" si="139"/>
        <v>90.73</v>
      </c>
      <c r="I374" s="76">
        <f t="shared" si="140"/>
        <v>117.94900000000001</v>
      </c>
      <c r="J374" s="77">
        <f t="shared" si="141"/>
        <v>1061.5410000000002</v>
      </c>
      <c r="K374" s="280"/>
      <c r="L374" s="281"/>
      <c r="M374" s="281"/>
    </row>
    <row r="375" spans="1:13" s="12" customFormat="1" outlineLevel="1">
      <c r="A375" s="71" t="s">
        <v>1145</v>
      </c>
      <c r="B375" s="78" t="s">
        <v>158</v>
      </c>
      <c r="C375" s="94" t="s">
        <v>827</v>
      </c>
      <c r="D375" s="79" t="s">
        <v>679</v>
      </c>
      <c r="E375" s="74">
        <v>11</v>
      </c>
      <c r="F375" s="75">
        <f>42.88+6.25</f>
        <v>49.13</v>
      </c>
      <c r="G375" s="75">
        <v>0</v>
      </c>
      <c r="H375" s="75">
        <f t="shared" si="139"/>
        <v>49.13</v>
      </c>
      <c r="I375" s="76">
        <f t="shared" si="140"/>
        <v>63.869000000000007</v>
      </c>
      <c r="J375" s="77">
        <f t="shared" si="141"/>
        <v>702.55900000000008</v>
      </c>
      <c r="K375" s="280" t="s">
        <v>1168</v>
      </c>
      <c r="L375" s="281"/>
      <c r="M375" s="281"/>
    </row>
    <row r="376" spans="1:13" s="12" customFormat="1" outlineLevel="1">
      <c r="A376" s="71" t="s">
        <v>1146</v>
      </c>
      <c r="B376" s="78" t="s">
        <v>158</v>
      </c>
      <c r="C376" s="94" t="s">
        <v>807</v>
      </c>
      <c r="D376" s="79" t="s">
        <v>7</v>
      </c>
      <c r="E376" s="74">
        <v>1</v>
      </c>
      <c r="F376" s="75">
        <v>100</v>
      </c>
      <c r="G376" s="75">
        <v>0</v>
      </c>
      <c r="H376" s="75">
        <f t="shared" si="139"/>
        <v>100</v>
      </c>
      <c r="I376" s="76">
        <f t="shared" si="140"/>
        <v>130</v>
      </c>
      <c r="J376" s="77">
        <f t="shared" si="141"/>
        <v>130</v>
      </c>
      <c r="K376" s="280"/>
      <c r="L376" s="281"/>
      <c r="M376" s="281"/>
    </row>
    <row r="377" spans="1:13" s="12" customFormat="1" outlineLevel="1">
      <c r="A377" s="63" t="s">
        <v>1147</v>
      </c>
      <c r="B377" s="63"/>
      <c r="C377" s="96" t="s">
        <v>950</v>
      </c>
      <c r="D377" s="65"/>
      <c r="E377" s="66"/>
      <c r="F377" s="67"/>
      <c r="G377" s="67"/>
      <c r="H377" s="68"/>
      <c r="I377" s="68"/>
      <c r="J377" s="69"/>
      <c r="K377" s="280"/>
      <c r="L377" s="281"/>
      <c r="M377" s="281"/>
    </row>
    <row r="378" spans="1:13" s="5" customFormat="1" ht="33.75" outlineLevel="1">
      <c r="A378" s="70" t="s">
        <v>1148</v>
      </c>
      <c r="B378" s="124" t="s">
        <v>289</v>
      </c>
      <c r="C378" s="94" t="s">
        <v>1152</v>
      </c>
      <c r="D378" s="115" t="s">
        <v>7</v>
      </c>
      <c r="E378" s="74">
        <v>1</v>
      </c>
      <c r="F378" s="76">
        <v>0</v>
      </c>
      <c r="G378" s="82">
        <v>27342.5</v>
      </c>
      <c r="H378" s="75">
        <f t="shared" si="76"/>
        <v>27342.5</v>
      </c>
      <c r="I378" s="76">
        <f t="shared" si="77"/>
        <v>35545.25</v>
      </c>
      <c r="J378" s="77">
        <f>E378*I378</f>
        <v>35545.25</v>
      </c>
      <c r="K378" s="280" t="s">
        <v>1168</v>
      </c>
      <c r="L378" s="281"/>
      <c r="M378" s="281"/>
    </row>
    <row r="379" spans="1:13" s="12" customFormat="1" outlineLevel="1">
      <c r="A379" s="63" t="s">
        <v>1149</v>
      </c>
      <c r="B379" s="63"/>
      <c r="C379" s="96" t="s">
        <v>208</v>
      </c>
      <c r="D379" s="65"/>
      <c r="E379" s="66"/>
      <c r="F379" s="67"/>
      <c r="G379" s="67"/>
      <c r="H379" s="68"/>
      <c r="I379" s="68"/>
      <c r="J379" s="69"/>
      <c r="K379" s="280"/>
      <c r="L379" s="281"/>
      <c r="M379" s="281"/>
    </row>
    <row r="380" spans="1:13" s="5" customFormat="1" ht="34.5" customHeight="1" outlineLevel="1">
      <c r="A380" s="70" t="s">
        <v>1150</v>
      </c>
      <c r="B380" s="71" t="s">
        <v>158</v>
      </c>
      <c r="C380" s="94" t="s">
        <v>877</v>
      </c>
      <c r="D380" s="86" t="s">
        <v>8</v>
      </c>
      <c r="E380" s="74">
        <v>2</v>
      </c>
      <c r="F380" s="82">
        <v>1300</v>
      </c>
      <c r="G380" s="76">
        <v>250</v>
      </c>
      <c r="H380" s="75">
        <f t="shared" ref="H380" si="142">F380+G380</f>
        <v>1550</v>
      </c>
      <c r="I380" s="76">
        <f t="shared" si="77"/>
        <v>2015</v>
      </c>
      <c r="J380" s="77">
        <f>E380*I380</f>
        <v>4030</v>
      </c>
      <c r="K380" s="280"/>
      <c r="L380" s="281"/>
      <c r="M380" s="281"/>
    </row>
    <row r="381" spans="1:13" s="12" customFormat="1">
      <c r="A381" s="58" t="s">
        <v>65</v>
      </c>
      <c r="B381" s="58"/>
      <c r="C381" s="91" t="s">
        <v>168</v>
      </c>
      <c r="D381" s="59"/>
      <c r="E381" s="59"/>
      <c r="F381" s="60"/>
      <c r="G381" s="60"/>
      <c r="H381" s="61"/>
      <c r="I381" s="61"/>
      <c r="J381" s="62">
        <f ca="1">SUM(OFFSET(J381,1,,,):OFFSET(J393,-1,,,))</f>
        <v>67866.662933333326</v>
      </c>
      <c r="K381" s="280" t="s">
        <v>1168</v>
      </c>
      <c r="L381" s="281"/>
      <c r="M381" s="281"/>
    </row>
    <row r="382" spans="1:13" s="12" customFormat="1" outlineLevel="1">
      <c r="A382" s="63" t="s">
        <v>131</v>
      </c>
      <c r="B382" s="63"/>
      <c r="C382" s="96" t="s">
        <v>168</v>
      </c>
      <c r="D382" s="65"/>
      <c r="E382" s="66"/>
      <c r="F382" s="67"/>
      <c r="G382" s="67"/>
      <c r="H382" s="68"/>
      <c r="I382" s="68"/>
      <c r="J382" s="69"/>
      <c r="K382" s="280"/>
      <c r="L382" s="281"/>
      <c r="M382" s="281"/>
    </row>
    <row r="383" spans="1:13" s="5" customFormat="1" ht="45" outlineLevel="1">
      <c r="A383" s="70" t="s">
        <v>132</v>
      </c>
      <c r="B383" s="71" t="s">
        <v>158</v>
      </c>
      <c r="C383" s="94" t="s">
        <v>269</v>
      </c>
      <c r="D383" s="86" t="s">
        <v>226</v>
      </c>
      <c r="E383" s="74">
        <v>14</v>
      </c>
      <c r="F383" s="82">
        <v>351.18</v>
      </c>
      <c r="G383" s="76">
        <v>0</v>
      </c>
      <c r="H383" s="75">
        <f t="shared" ref="H383:H385" si="143">F383+G383</f>
        <v>351.18</v>
      </c>
      <c r="I383" s="76">
        <f t="shared" ref="I383:I385" si="144">H383*(1+$J$4)</f>
        <v>456.53400000000005</v>
      </c>
      <c r="J383" s="77">
        <f>E383*I383</f>
        <v>6391.4760000000006</v>
      </c>
      <c r="K383" s="280"/>
      <c r="L383" s="281"/>
      <c r="M383" s="281"/>
    </row>
    <row r="384" spans="1:13" s="5" customFormat="1" ht="45" outlineLevel="1">
      <c r="A384" s="70" t="s">
        <v>133</v>
      </c>
      <c r="B384" s="71" t="s">
        <v>158</v>
      </c>
      <c r="C384" s="94" t="s">
        <v>270</v>
      </c>
      <c r="D384" s="86" t="s">
        <v>5</v>
      </c>
      <c r="E384" s="74">
        <v>92</v>
      </c>
      <c r="F384" s="82">
        <v>171.73</v>
      </c>
      <c r="G384" s="76">
        <v>0</v>
      </c>
      <c r="H384" s="75">
        <f t="shared" si="143"/>
        <v>171.73</v>
      </c>
      <c r="I384" s="76">
        <f t="shared" si="144"/>
        <v>223.249</v>
      </c>
      <c r="J384" s="77">
        <f>E384*I384</f>
        <v>20538.907999999999</v>
      </c>
      <c r="K384" s="280" t="s">
        <v>1168</v>
      </c>
      <c r="L384" s="281"/>
      <c r="M384" s="281"/>
    </row>
    <row r="385" spans="1:13" s="5" customFormat="1" ht="33.75" outlineLevel="1">
      <c r="A385" s="70" t="s">
        <v>134</v>
      </c>
      <c r="B385" s="71" t="s">
        <v>158</v>
      </c>
      <c r="C385" s="94" t="s">
        <v>271</v>
      </c>
      <c r="D385" s="86" t="s">
        <v>226</v>
      </c>
      <c r="E385" s="74">
        <v>21</v>
      </c>
      <c r="F385" s="82">
        <v>104.57</v>
      </c>
      <c r="G385" s="76">
        <v>0</v>
      </c>
      <c r="H385" s="75">
        <f t="shared" si="143"/>
        <v>104.57</v>
      </c>
      <c r="I385" s="76">
        <f t="shared" si="144"/>
        <v>135.941</v>
      </c>
      <c r="J385" s="77">
        <f>E385*I385</f>
        <v>2854.761</v>
      </c>
      <c r="K385" s="280"/>
      <c r="L385" s="281"/>
      <c r="M385" s="281"/>
    </row>
    <row r="386" spans="1:13" s="12" customFormat="1" outlineLevel="1">
      <c r="A386" s="63" t="s">
        <v>180</v>
      </c>
      <c r="B386" s="63"/>
      <c r="C386" s="96" t="s">
        <v>274</v>
      </c>
      <c r="D386" s="65"/>
      <c r="E386" s="66"/>
      <c r="F386" s="67"/>
      <c r="G386" s="67"/>
      <c r="H386" s="68"/>
      <c r="I386" s="68"/>
      <c r="J386" s="69"/>
      <c r="K386" s="280"/>
      <c r="L386" s="281"/>
      <c r="M386" s="281"/>
    </row>
    <row r="387" spans="1:13" s="5" customFormat="1" ht="33.75" outlineLevel="1">
      <c r="A387" s="70" t="s">
        <v>181</v>
      </c>
      <c r="B387" s="71" t="s">
        <v>158</v>
      </c>
      <c r="C387" s="94" t="s">
        <v>272</v>
      </c>
      <c r="D387" s="86" t="s">
        <v>226</v>
      </c>
      <c r="E387" s="74">
        <v>4</v>
      </c>
      <c r="F387" s="82">
        <v>274.54000000000002</v>
      </c>
      <c r="G387" s="76">
        <v>0</v>
      </c>
      <c r="H387" s="75">
        <f t="shared" ref="H387" si="145">F387+G387</f>
        <v>274.54000000000002</v>
      </c>
      <c r="I387" s="76">
        <f t="shared" ref="I387:I389" si="146">H387*(1+$J$4)</f>
        <v>356.90200000000004</v>
      </c>
      <c r="J387" s="77">
        <f>E387*I387</f>
        <v>1427.6080000000002</v>
      </c>
      <c r="K387" s="280" t="s">
        <v>1168</v>
      </c>
      <c r="L387" s="281"/>
      <c r="M387" s="281"/>
    </row>
    <row r="388" spans="1:13" s="12" customFormat="1" outlineLevel="1">
      <c r="A388" s="63" t="s">
        <v>339</v>
      </c>
      <c r="B388" s="63"/>
      <c r="C388" s="96" t="s">
        <v>275</v>
      </c>
      <c r="D388" s="65"/>
      <c r="E388" s="66"/>
      <c r="F388" s="67"/>
      <c r="G388" s="67"/>
      <c r="H388" s="68"/>
      <c r="I388" s="68"/>
      <c r="J388" s="69"/>
      <c r="K388" s="280"/>
      <c r="L388" s="281"/>
      <c r="M388" s="281"/>
    </row>
    <row r="389" spans="1:13" s="5" customFormat="1" ht="24" customHeight="1" outlineLevel="1">
      <c r="A389" s="70" t="s">
        <v>340</v>
      </c>
      <c r="B389" s="71" t="s">
        <v>158</v>
      </c>
      <c r="C389" s="94" t="s">
        <v>273</v>
      </c>
      <c r="D389" s="86" t="s">
        <v>4</v>
      </c>
      <c r="E389" s="74">
        <v>6.84</v>
      </c>
      <c r="F389" s="82">
        <v>1131.05</v>
      </c>
      <c r="G389" s="76">
        <v>0</v>
      </c>
      <c r="H389" s="75">
        <f t="shared" ref="H389" si="147">F389+G389</f>
        <v>1131.05</v>
      </c>
      <c r="I389" s="76">
        <f t="shared" si="146"/>
        <v>1470.365</v>
      </c>
      <c r="J389" s="77">
        <f>E389*I389</f>
        <v>10057.2966</v>
      </c>
      <c r="K389" s="280"/>
      <c r="L389" s="281"/>
      <c r="M389" s="281"/>
    </row>
    <row r="390" spans="1:13" s="12" customFormat="1" outlineLevel="1">
      <c r="A390" s="63" t="s">
        <v>341</v>
      </c>
      <c r="B390" s="63"/>
      <c r="C390" s="96" t="s">
        <v>276</v>
      </c>
      <c r="D390" s="65"/>
      <c r="E390" s="66"/>
      <c r="F390" s="67"/>
      <c r="G390" s="67"/>
      <c r="H390" s="68"/>
      <c r="I390" s="68"/>
      <c r="J390" s="69"/>
      <c r="K390" s="280" t="s">
        <v>1168</v>
      </c>
      <c r="L390" s="281"/>
      <c r="M390" s="281"/>
    </row>
    <row r="391" spans="1:13" s="12" customFormat="1" ht="33.75" outlineLevel="1">
      <c r="A391" s="71" t="s">
        <v>342</v>
      </c>
      <c r="B391" s="124" t="s">
        <v>289</v>
      </c>
      <c r="C391" s="94" t="s">
        <v>1153</v>
      </c>
      <c r="D391" s="86" t="s">
        <v>7</v>
      </c>
      <c r="E391" s="74">
        <v>1</v>
      </c>
      <c r="F391" s="75">
        <v>0</v>
      </c>
      <c r="G391" s="76">
        <v>10831.2</v>
      </c>
      <c r="H391" s="75">
        <f t="shared" ref="H391" si="148">F391+G391</f>
        <v>10831.2</v>
      </c>
      <c r="I391" s="76">
        <f t="shared" ref="I391" si="149">H391*(1+$J$4)</f>
        <v>14080.560000000001</v>
      </c>
      <c r="J391" s="77">
        <f>E391*I391</f>
        <v>14080.560000000001</v>
      </c>
      <c r="K391" s="280"/>
      <c r="L391" s="281"/>
      <c r="M391" s="281"/>
    </row>
    <row r="392" spans="1:13" s="12" customFormat="1" ht="33.75" outlineLevel="1">
      <c r="A392" s="71" t="s">
        <v>854</v>
      </c>
      <c r="B392" s="124" t="s">
        <v>289</v>
      </c>
      <c r="C392" s="107" t="s">
        <v>1154</v>
      </c>
      <c r="D392" s="86" t="s">
        <v>7</v>
      </c>
      <c r="E392" s="74">
        <v>1</v>
      </c>
      <c r="F392" s="75">
        <v>0</v>
      </c>
      <c r="G392" s="76">
        <v>9627.7333333333336</v>
      </c>
      <c r="H392" s="75">
        <f t="shared" ref="H392" si="150">F392+G392</f>
        <v>9627.7333333333336</v>
      </c>
      <c r="I392" s="76">
        <f t="shared" ref="I392" si="151">H392*(1+$J$4)</f>
        <v>12516.053333333333</v>
      </c>
      <c r="J392" s="77">
        <f>E392*I392</f>
        <v>12516.053333333333</v>
      </c>
      <c r="K392" s="280"/>
      <c r="L392" s="281"/>
      <c r="M392" s="281"/>
    </row>
    <row r="393" spans="1:13" s="12" customFormat="1">
      <c r="A393" s="58" t="s">
        <v>71</v>
      </c>
      <c r="B393" s="58"/>
      <c r="C393" s="91" t="s">
        <v>129</v>
      </c>
      <c r="D393" s="59"/>
      <c r="E393" s="59"/>
      <c r="F393" s="60"/>
      <c r="G393" s="60"/>
      <c r="H393" s="61"/>
      <c r="I393" s="61"/>
      <c r="J393" s="62">
        <f ca="1">SUM(OFFSET(J393,1,,,):OFFSET(J397,-1,,,))</f>
        <v>179184.07</v>
      </c>
      <c r="K393" s="280" t="s">
        <v>1168</v>
      </c>
      <c r="L393" s="281"/>
      <c r="M393" s="281"/>
    </row>
    <row r="394" spans="1:13" s="5" customFormat="1" ht="78.75" outlineLevel="1">
      <c r="A394" s="124" t="s">
        <v>155</v>
      </c>
      <c r="B394" s="93" t="s">
        <v>158</v>
      </c>
      <c r="C394" s="117" t="s">
        <v>1162</v>
      </c>
      <c r="D394" s="95" t="s">
        <v>7</v>
      </c>
      <c r="E394" s="74">
        <v>1</v>
      </c>
      <c r="F394" s="75">
        <v>96014.17</v>
      </c>
      <c r="G394" s="75">
        <v>0</v>
      </c>
      <c r="H394" s="75">
        <f t="shared" ref="H394:H396" si="152">F394+G394</f>
        <v>96014.17</v>
      </c>
      <c r="I394" s="76">
        <f t="shared" ref="I394" si="153">H394*(1+$J$4)</f>
        <v>124818.421</v>
      </c>
      <c r="J394" s="77">
        <f>E394*I394</f>
        <v>124818.421</v>
      </c>
      <c r="K394" s="280"/>
      <c r="L394" s="281"/>
      <c r="M394" s="281"/>
    </row>
    <row r="395" spans="1:13" s="5" customFormat="1" ht="105" customHeight="1" outlineLevel="1">
      <c r="A395" s="124" t="s">
        <v>175</v>
      </c>
      <c r="B395" s="93" t="s">
        <v>158</v>
      </c>
      <c r="C395" s="117" t="s">
        <v>1163</v>
      </c>
      <c r="D395" s="95" t="s">
        <v>7</v>
      </c>
      <c r="E395" s="74">
        <v>1</v>
      </c>
      <c r="F395" s="75">
        <v>0</v>
      </c>
      <c r="G395" s="75">
        <v>35651.1</v>
      </c>
      <c r="H395" s="75">
        <f t="shared" si="152"/>
        <v>35651.1</v>
      </c>
      <c r="I395" s="76">
        <f t="shared" ref="I395:I396" si="154">H395*(1+$J$4)</f>
        <v>46346.43</v>
      </c>
      <c r="J395" s="77">
        <f>E395*I395</f>
        <v>46346.43</v>
      </c>
      <c r="K395" s="280"/>
      <c r="L395" s="281"/>
      <c r="M395" s="281"/>
    </row>
    <row r="396" spans="1:13" s="12" customFormat="1" ht="45" outlineLevel="1">
      <c r="A396" s="124" t="s">
        <v>578</v>
      </c>
      <c r="B396" s="93" t="s">
        <v>158</v>
      </c>
      <c r="C396" s="94" t="s">
        <v>1164</v>
      </c>
      <c r="D396" s="95" t="s">
        <v>7</v>
      </c>
      <c r="E396" s="74">
        <v>1</v>
      </c>
      <c r="F396" s="75">
        <v>0</v>
      </c>
      <c r="G396" s="76">
        <v>6168.63</v>
      </c>
      <c r="H396" s="75">
        <f t="shared" si="152"/>
        <v>6168.63</v>
      </c>
      <c r="I396" s="76">
        <f t="shared" si="154"/>
        <v>8019.2190000000001</v>
      </c>
      <c r="J396" s="77">
        <f>E396*I396</f>
        <v>8019.2190000000001</v>
      </c>
      <c r="K396" s="280" t="s">
        <v>1168</v>
      </c>
      <c r="L396" s="281"/>
      <c r="M396" s="281"/>
    </row>
    <row r="397" spans="1:13" s="12" customFormat="1">
      <c r="A397" s="58" t="s">
        <v>114</v>
      </c>
      <c r="B397" s="58"/>
      <c r="C397" s="91" t="s">
        <v>343</v>
      </c>
      <c r="D397" s="59"/>
      <c r="E397" s="59"/>
      <c r="F397" s="60"/>
      <c r="G397" s="60"/>
      <c r="H397" s="61"/>
      <c r="I397" s="61"/>
      <c r="J397" s="62">
        <f ca="1">SUM(OFFSET(J397,1,,,):OFFSET(J408,-1,,,))</f>
        <v>8404.5525200000011</v>
      </c>
      <c r="K397" s="280"/>
      <c r="L397" s="281"/>
      <c r="M397" s="281"/>
    </row>
    <row r="398" spans="1:13" s="12" customFormat="1" outlineLevel="1">
      <c r="A398" s="63" t="s">
        <v>130</v>
      </c>
      <c r="B398" s="63"/>
      <c r="C398" s="96" t="s">
        <v>344</v>
      </c>
      <c r="D398" s="65"/>
      <c r="E398" s="66"/>
      <c r="F398" s="67"/>
      <c r="G398" s="67"/>
      <c r="H398" s="68"/>
      <c r="I398" s="68"/>
      <c r="J398" s="69"/>
      <c r="K398" s="280"/>
      <c r="L398" s="281"/>
      <c r="M398" s="281"/>
    </row>
    <row r="399" spans="1:13" s="5" customFormat="1" outlineLevel="1">
      <c r="A399" s="124" t="s">
        <v>298</v>
      </c>
      <c r="B399" s="93"/>
      <c r="C399" s="117" t="s">
        <v>639</v>
      </c>
      <c r="D399" s="95" t="s">
        <v>8</v>
      </c>
      <c r="E399" s="74">
        <v>4</v>
      </c>
      <c r="F399" s="75">
        <v>792.31820000000005</v>
      </c>
      <c r="G399" s="75">
        <v>31.86</v>
      </c>
      <c r="H399" s="75">
        <f t="shared" ref="H399:H400" si="155">F399+G399</f>
        <v>824.17820000000006</v>
      </c>
      <c r="I399" s="76">
        <f t="shared" ref="I399:I400" si="156">H399*(1+$J$4)</f>
        <v>1071.4316600000002</v>
      </c>
      <c r="J399" s="77">
        <f>E399*I399</f>
        <v>4285.7266400000008</v>
      </c>
      <c r="K399" s="280" t="s">
        <v>1168</v>
      </c>
      <c r="L399" s="281"/>
      <c r="M399" s="281"/>
    </row>
    <row r="400" spans="1:13" s="5" customFormat="1" outlineLevel="1">
      <c r="A400" s="124" t="s">
        <v>346</v>
      </c>
      <c r="B400" s="93"/>
      <c r="C400" s="117" t="s">
        <v>640</v>
      </c>
      <c r="D400" s="95" t="s">
        <v>8</v>
      </c>
      <c r="E400" s="74">
        <v>4</v>
      </c>
      <c r="F400" s="75">
        <v>267.4486</v>
      </c>
      <c r="G400" s="75">
        <v>31.86</v>
      </c>
      <c r="H400" s="75">
        <f t="shared" si="155"/>
        <v>299.30860000000001</v>
      </c>
      <c r="I400" s="76">
        <f t="shared" si="156"/>
        <v>389.10118000000006</v>
      </c>
      <c r="J400" s="77">
        <f>E400*I400</f>
        <v>1556.4047200000002</v>
      </c>
      <c r="K400" s="280"/>
      <c r="L400" s="281"/>
      <c r="M400" s="281"/>
    </row>
    <row r="401" spans="1:13" s="12" customFormat="1" outlineLevel="1">
      <c r="A401" s="63" t="s">
        <v>164</v>
      </c>
      <c r="B401" s="63"/>
      <c r="C401" s="96" t="s">
        <v>162</v>
      </c>
      <c r="D401" s="65"/>
      <c r="E401" s="66"/>
      <c r="F401" s="67"/>
      <c r="G401" s="67"/>
      <c r="H401" s="68"/>
      <c r="I401" s="68"/>
      <c r="J401" s="69"/>
      <c r="K401" s="280"/>
      <c r="L401" s="281"/>
      <c r="M401" s="281"/>
    </row>
    <row r="402" spans="1:13" s="5" customFormat="1" ht="22.5" outlineLevel="1">
      <c r="A402" s="124" t="s">
        <v>299</v>
      </c>
      <c r="B402" s="93"/>
      <c r="C402" s="117" t="s">
        <v>352</v>
      </c>
      <c r="D402" s="95" t="s">
        <v>8</v>
      </c>
      <c r="E402" s="74">
        <v>26</v>
      </c>
      <c r="F402" s="75">
        <v>22.758199999999999</v>
      </c>
      <c r="G402" s="75">
        <v>40.549999999999997</v>
      </c>
      <c r="H402" s="75">
        <f t="shared" ref="H402" si="157">F402+G402</f>
        <v>63.308199999999999</v>
      </c>
      <c r="I402" s="76">
        <f t="shared" ref="I402" si="158">H402*(1+$J$4)</f>
        <v>82.300660000000008</v>
      </c>
      <c r="J402" s="77">
        <f>E402*I402</f>
        <v>2139.8171600000001</v>
      </c>
      <c r="K402" s="280" t="s">
        <v>1168</v>
      </c>
      <c r="L402" s="281"/>
      <c r="M402" s="281"/>
    </row>
    <row r="403" spans="1:13" s="12" customFormat="1" outlineLevel="1">
      <c r="A403" s="63" t="s">
        <v>209</v>
      </c>
      <c r="B403" s="63"/>
      <c r="C403" s="96" t="s">
        <v>345</v>
      </c>
      <c r="D403" s="65"/>
      <c r="E403" s="66"/>
      <c r="F403" s="67"/>
      <c r="G403" s="67"/>
      <c r="H403" s="68"/>
      <c r="I403" s="68"/>
      <c r="J403" s="69"/>
      <c r="K403" s="280"/>
      <c r="L403" s="281"/>
      <c r="M403" s="281"/>
    </row>
    <row r="404" spans="1:13" s="5" customFormat="1" outlineLevel="1">
      <c r="A404" s="124" t="s">
        <v>300</v>
      </c>
      <c r="B404" s="93"/>
      <c r="C404" s="117" t="s">
        <v>350</v>
      </c>
      <c r="D404" s="95" t="s">
        <v>8</v>
      </c>
      <c r="E404" s="74">
        <v>3</v>
      </c>
      <c r="F404" s="75">
        <v>6.2540000000000004</v>
      </c>
      <c r="G404" s="75">
        <v>10</v>
      </c>
      <c r="H404" s="75">
        <f t="shared" ref="H404:H407" si="159">F404+G404</f>
        <v>16.254000000000001</v>
      </c>
      <c r="I404" s="76">
        <f t="shared" ref="I404:I407" si="160">H404*(1+$J$4)</f>
        <v>21.130200000000002</v>
      </c>
      <c r="J404" s="77">
        <f>E404*I404</f>
        <v>63.390600000000006</v>
      </c>
      <c r="K404" s="280"/>
      <c r="L404" s="281"/>
      <c r="M404" s="281"/>
    </row>
    <row r="405" spans="1:13" s="5" customFormat="1" outlineLevel="1">
      <c r="A405" s="124" t="s">
        <v>347</v>
      </c>
      <c r="B405" s="93"/>
      <c r="C405" s="117" t="s">
        <v>351</v>
      </c>
      <c r="D405" s="95" t="s">
        <v>8</v>
      </c>
      <c r="E405" s="74">
        <v>1</v>
      </c>
      <c r="F405" s="75">
        <v>6.2540000000000004</v>
      </c>
      <c r="G405" s="75">
        <v>10</v>
      </c>
      <c r="H405" s="75">
        <f t="shared" si="159"/>
        <v>16.254000000000001</v>
      </c>
      <c r="I405" s="76">
        <f t="shared" si="160"/>
        <v>21.130200000000002</v>
      </c>
      <c r="J405" s="77">
        <f>E405*I405</f>
        <v>21.130200000000002</v>
      </c>
      <c r="K405" s="280" t="s">
        <v>1168</v>
      </c>
      <c r="L405" s="281"/>
      <c r="M405" s="281"/>
    </row>
    <row r="406" spans="1:13" s="5" customFormat="1" outlineLevel="1">
      <c r="A406" s="124" t="s">
        <v>348</v>
      </c>
      <c r="B406" s="93"/>
      <c r="C406" s="117" t="s">
        <v>353</v>
      </c>
      <c r="D406" s="95" t="s">
        <v>8</v>
      </c>
      <c r="E406" s="74">
        <v>8</v>
      </c>
      <c r="F406" s="75">
        <v>6.2540000000000004</v>
      </c>
      <c r="G406" s="75">
        <v>10</v>
      </c>
      <c r="H406" s="75">
        <f t="shared" si="159"/>
        <v>16.254000000000001</v>
      </c>
      <c r="I406" s="76">
        <f t="shared" si="160"/>
        <v>21.130200000000002</v>
      </c>
      <c r="J406" s="77">
        <f>E406*I406</f>
        <v>169.04160000000002</v>
      </c>
      <c r="K406" s="280"/>
      <c r="L406" s="281"/>
      <c r="M406" s="281"/>
    </row>
    <row r="407" spans="1:13" s="12" customFormat="1" outlineLevel="1">
      <c r="A407" s="124" t="s">
        <v>349</v>
      </c>
      <c r="B407" s="93"/>
      <c r="C407" s="117" t="s">
        <v>354</v>
      </c>
      <c r="D407" s="95" t="s">
        <v>8</v>
      </c>
      <c r="E407" s="74">
        <v>8</v>
      </c>
      <c r="F407" s="75">
        <v>6.2540000000000004</v>
      </c>
      <c r="G407" s="76">
        <v>10</v>
      </c>
      <c r="H407" s="75">
        <f t="shared" si="159"/>
        <v>16.254000000000001</v>
      </c>
      <c r="I407" s="76">
        <f t="shared" si="160"/>
        <v>21.130200000000002</v>
      </c>
      <c r="J407" s="77">
        <f>E407*I407</f>
        <v>169.04160000000002</v>
      </c>
      <c r="K407" s="280"/>
      <c r="L407" s="281"/>
      <c r="M407" s="281"/>
    </row>
    <row r="408" spans="1:13" s="12" customFormat="1">
      <c r="A408" s="58" t="s">
        <v>115</v>
      </c>
      <c r="B408" s="58"/>
      <c r="C408" s="91" t="s">
        <v>260</v>
      </c>
      <c r="D408" s="59"/>
      <c r="E408" s="59"/>
      <c r="F408" s="60"/>
      <c r="G408" s="60"/>
      <c r="H408" s="61"/>
      <c r="I408" s="61"/>
      <c r="J408" s="62">
        <f ca="1">SUM(OFFSET(J408,1,,,):OFFSET(J418,-1,,,))</f>
        <v>18394.142000000003</v>
      </c>
      <c r="K408" s="280" t="s">
        <v>1168</v>
      </c>
      <c r="L408" s="281"/>
      <c r="M408" s="281"/>
    </row>
    <row r="409" spans="1:13" s="12" customFormat="1" outlineLevel="1">
      <c r="A409" s="63" t="s">
        <v>135</v>
      </c>
      <c r="B409" s="63"/>
      <c r="C409" s="96" t="s">
        <v>263</v>
      </c>
      <c r="D409" s="65"/>
      <c r="E409" s="66"/>
      <c r="F409" s="67"/>
      <c r="G409" s="67"/>
      <c r="H409" s="68"/>
      <c r="I409" s="68"/>
      <c r="J409" s="69"/>
      <c r="K409" s="280"/>
      <c r="L409" s="281"/>
      <c r="M409" s="281"/>
    </row>
    <row r="410" spans="1:13" s="7" customFormat="1" outlineLevel="1">
      <c r="A410" s="124" t="s">
        <v>135</v>
      </c>
      <c r="B410" s="124" t="s">
        <v>158</v>
      </c>
      <c r="C410" s="107" t="s">
        <v>360</v>
      </c>
      <c r="D410" s="86" t="s">
        <v>8</v>
      </c>
      <c r="E410" s="74">
        <v>1</v>
      </c>
      <c r="F410" s="75">
        <v>420</v>
      </c>
      <c r="G410" s="75">
        <v>165</v>
      </c>
      <c r="H410" s="75">
        <f t="shared" ref="H410" si="161">F410+G410</f>
        <v>585</v>
      </c>
      <c r="I410" s="76">
        <f t="shared" ref="I410" si="162">H410*(1+$J$4)</f>
        <v>760.5</v>
      </c>
      <c r="J410" s="77">
        <f>E410*I410</f>
        <v>760.5</v>
      </c>
      <c r="K410" s="280"/>
      <c r="L410" s="281"/>
      <c r="M410" s="281"/>
    </row>
    <row r="411" spans="1:13" s="12" customFormat="1" outlineLevel="1">
      <c r="A411" s="63" t="s">
        <v>136</v>
      </c>
      <c r="B411" s="63"/>
      <c r="C411" s="96" t="s">
        <v>267</v>
      </c>
      <c r="D411" s="65"/>
      <c r="E411" s="66"/>
      <c r="F411" s="67"/>
      <c r="G411" s="67"/>
      <c r="H411" s="68"/>
      <c r="I411" s="68"/>
      <c r="J411" s="69"/>
      <c r="K411" s="280" t="s">
        <v>1168</v>
      </c>
      <c r="L411" s="281"/>
      <c r="M411" s="281"/>
    </row>
    <row r="412" spans="1:13" s="12" customFormat="1" ht="33.75" outlineLevel="1">
      <c r="A412" s="71" t="s">
        <v>355</v>
      </c>
      <c r="B412" s="124" t="s">
        <v>158</v>
      </c>
      <c r="C412" s="94" t="s">
        <v>361</v>
      </c>
      <c r="D412" s="86" t="s">
        <v>8</v>
      </c>
      <c r="E412" s="74">
        <v>4</v>
      </c>
      <c r="F412" s="75">
        <v>1241.9000000000001</v>
      </c>
      <c r="G412" s="76">
        <v>180</v>
      </c>
      <c r="H412" s="75">
        <f t="shared" ref="H412" si="163">F412+G412</f>
        <v>1421.9</v>
      </c>
      <c r="I412" s="76">
        <f t="shared" ref="I412" si="164">H412*(1+$J$4)</f>
        <v>1848.4700000000003</v>
      </c>
      <c r="J412" s="77">
        <f>E412*I412</f>
        <v>7393.880000000001</v>
      </c>
      <c r="K412" s="280"/>
      <c r="L412" s="281"/>
      <c r="M412" s="281"/>
    </row>
    <row r="413" spans="1:13" s="12" customFormat="1" outlineLevel="1">
      <c r="A413" s="63" t="s">
        <v>356</v>
      </c>
      <c r="B413" s="63"/>
      <c r="C413" s="96" t="s">
        <v>107</v>
      </c>
      <c r="D413" s="65"/>
      <c r="E413" s="66"/>
      <c r="F413" s="67"/>
      <c r="G413" s="67"/>
      <c r="H413" s="68"/>
      <c r="I413" s="68"/>
      <c r="J413" s="69"/>
      <c r="K413" s="280"/>
      <c r="L413" s="281"/>
      <c r="M413" s="281"/>
    </row>
    <row r="414" spans="1:13" s="4" customFormat="1" outlineLevel="1">
      <c r="A414" s="71" t="s">
        <v>357</v>
      </c>
      <c r="B414" s="124" t="s">
        <v>158</v>
      </c>
      <c r="C414" s="94" t="s">
        <v>359</v>
      </c>
      <c r="D414" s="86" t="s">
        <v>8</v>
      </c>
      <c r="E414" s="74">
        <v>1</v>
      </c>
      <c r="F414" s="75">
        <v>450</v>
      </c>
      <c r="G414" s="75">
        <v>93.6</v>
      </c>
      <c r="H414" s="75">
        <f t="shared" ref="H414:H415" si="165">F414+G414</f>
        <v>543.6</v>
      </c>
      <c r="I414" s="76">
        <f t="shared" ref="I414" si="166">H414*(1+$J$4)</f>
        <v>706.68000000000006</v>
      </c>
      <c r="J414" s="77">
        <f>E414*I414</f>
        <v>706.68000000000006</v>
      </c>
      <c r="K414" s="280" t="s">
        <v>1168</v>
      </c>
      <c r="L414" s="281"/>
      <c r="M414" s="281"/>
    </row>
    <row r="415" spans="1:13" s="12" customFormat="1" outlineLevel="1">
      <c r="A415" s="71" t="s">
        <v>358</v>
      </c>
      <c r="B415" s="124" t="s">
        <v>158</v>
      </c>
      <c r="C415" s="94" t="s">
        <v>362</v>
      </c>
      <c r="D415" s="86" t="s">
        <v>8</v>
      </c>
      <c r="E415" s="74">
        <v>2</v>
      </c>
      <c r="F415" s="75">
        <v>400</v>
      </c>
      <c r="G415" s="75">
        <v>93.6</v>
      </c>
      <c r="H415" s="75">
        <f t="shared" si="165"/>
        <v>493.6</v>
      </c>
      <c r="I415" s="76">
        <f t="shared" ref="I415" si="167">H415*(1+$J$4)</f>
        <v>641.68000000000006</v>
      </c>
      <c r="J415" s="77">
        <f>E415*I415</f>
        <v>1283.3600000000001</v>
      </c>
      <c r="K415" s="280"/>
      <c r="L415" s="281"/>
      <c r="M415" s="281"/>
    </row>
    <row r="416" spans="1:13" s="12" customFormat="1" outlineLevel="1">
      <c r="A416" s="63" t="s">
        <v>397</v>
      </c>
      <c r="B416" s="63"/>
      <c r="C416" s="96" t="s">
        <v>399</v>
      </c>
      <c r="D416" s="65"/>
      <c r="E416" s="66"/>
      <c r="F416" s="67"/>
      <c r="G416" s="67"/>
      <c r="H416" s="68"/>
      <c r="I416" s="68"/>
      <c r="J416" s="69"/>
      <c r="K416" s="280"/>
      <c r="L416" s="281"/>
      <c r="M416" s="281"/>
    </row>
    <row r="417" spans="1:13" s="12" customFormat="1" ht="22.5" outlineLevel="1">
      <c r="A417" s="71" t="s">
        <v>398</v>
      </c>
      <c r="B417" s="124" t="s">
        <v>158</v>
      </c>
      <c r="C417" s="94" t="s">
        <v>400</v>
      </c>
      <c r="D417" s="86" t="s">
        <v>8</v>
      </c>
      <c r="E417" s="74">
        <v>2</v>
      </c>
      <c r="F417" s="75">
        <v>2834.09</v>
      </c>
      <c r="G417" s="76">
        <v>338.88</v>
      </c>
      <c r="H417" s="75">
        <f t="shared" ref="H417" si="168">F417+G417</f>
        <v>3172.9700000000003</v>
      </c>
      <c r="I417" s="76">
        <f t="shared" ref="I417" si="169">H417*(1+$J$4)</f>
        <v>4124.8610000000008</v>
      </c>
      <c r="J417" s="77">
        <f>E417*I417</f>
        <v>8249.7220000000016</v>
      </c>
      <c r="K417" s="280" t="s">
        <v>1168</v>
      </c>
      <c r="L417" s="281"/>
      <c r="M417" s="281"/>
    </row>
    <row r="418" spans="1:13" s="12" customFormat="1">
      <c r="A418" s="58" t="s">
        <v>116</v>
      </c>
      <c r="B418" s="58"/>
      <c r="C418" s="91" t="s">
        <v>266</v>
      </c>
      <c r="D418" s="59"/>
      <c r="E418" s="59"/>
      <c r="F418" s="60"/>
      <c r="G418" s="60"/>
      <c r="H418" s="61"/>
      <c r="I418" s="61"/>
      <c r="J418" s="62">
        <f ca="1">SUM(OFFSET(J418,1,,,):OFFSET(J420,-1,,,))</f>
        <v>1205.6631600000001</v>
      </c>
      <c r="K418" s="280"/>
      <c r="L418" s="281"/>
      <c r="M418" s="281"/>
    </row>
    <row r="419" spans="1:13" s="12" customFormat="1" ht="27" customHeight="1" outlineLevel="1">
      <c r="A419" s="71" t="s">
        <v>154</v>
      </c>
      <c r="B419" s="124" t="s">
        <v>158</v>
      </c>
      <c r="C419" s="94" t="s">
        <v>662</v>
      </c>
      <c r="D419" s="86" t="s">
        <v>4</v>
      </c>
      <c r="E419" s="74">
        <v>2.33</v>
      </c>
      <c r="F419" s="75">
        <v>298.04000000000002</v>
      </c>
      <c r="G419" s="76">
        <v>100</v>
      </c>
      <c r="H419" s="75">
        <f t="shared" ref="H419" si="170">F419+G419</f>
        <v>398.04</v>
      </c>
      <c r="I419" s="76">
        <f t="shared" ref="I419" si="171">H419*(1+$J$4)</f>
        <v>517.452</v>
      </c>
      <c r="J419" s="77">
        <f>E419*I419</f>
        <v>1205.6631600000001</v>
      </c>
      <c r="K419" s="280"/>
      <c r="L419" s="281"/>
      <c r="M419" s="281"/>
    </row>
    <row r="420" spans="1:13" s="12" customFormat="1">
      <c r="A420" s="58" t="s">
        <v>117</v>
      </c>
      <c r="B420" s="58"/>
      <c r="C420" s="91" t="s">
        <v>264</v>
      </c>
      <c r="D420" s="59"/>
      <c r="E420" s="59"/>
      <c r="F420" s="60"/>
      <c r="G420" s="60"/>
      <c r="H420" s="61"/>
      <c r="I420" s="61"/>
      <c r="J420" s="62">
        <f ca="1">SUM(OFFSET(J420,1,,,):OFFSET(J430,-1,,,))</f>
        <v>319883.05882000003</v>
      </c>
      <c r="K420" s="280" t="s">
        <v>1168</v>
      </c>
      <c r="L420" s="281"/>
      <c r="M420" s="281"/>
    </row>
    <row r="421" spans="1:13" s="12" customFormat="1" outlineLevel="1">
      <c r="A421" s="63" t="s">
        <v>165</v>
      </c>
      <c r="B421" s="63"/>
      <c r="C421" s="96" t="s">
        <v>657</v>
      </c>
      <c r="D421" s="65"/>
      <c r="E421" s="66"/>
      <c r="F421" s="67"/>
      <c r="G421" s="67"/>
      <c r="H421" s="68"/>
      <c r="I421" s="68"/>
      <c r="J421" s="69"/>
      <c r="K421" s="280"/>
      <c r="L421" s="281"/>
      <c r="M421" s="281"/>
    </row>
    <row r="422" spans="1:13" s="12" customFormat="1" ht="35.25" customHeight="1" outlineLevel="1">
      <c r="A422" s="71" t="s">
        <v>363</v>
      </c>
      <c r="B422" s="124" t="s">
        <v>158</v>
      </c>
      <c r="C422" s="94" t="s">
        <v>261</v>
      </c>
      <c r="D422" s="86" t="s">
        <v>4</v>
      </c>
      <c r="E422" s="74">
        <v>17.34</v>
      </c>
      <c r="F422" s="75">
        <v>7293.59</v>
      </c>
      <c r="G422" s="76">
        <v>0</v>
      </c>
      <c r="H422" s="75">
        <f t="shared" ref="H422:H423" si="172">F422+G422</f>
        <v>7293.59</v>
      </c>
      <c r="I422" s="76">
        <f t="shared" ref="I422" si="173">H422*(1+$J$4)</f>
        <v>9481.6670000000013</v>
      </c>
      <c r="J422" s="77">
        <f>E422*I422</f>
        <v>164412.10578000001</v>
      </c>
      <c r="K422" s="280"/>
      <c r="L422" s="281"/>
      <c r="M422" s="281"/>
    </row>
    <row r="423" spans="1:13" s="12" customFormat="1" ht="45" outlineLevel="1">
      <c r="A423" s="71" t="s">
        <v>364</v>
      </c>
      <c r="B423" s="124" t="s">
        <v>158</v>
      </c>
      <c r="C423" s="94" t="s">
        <v>262</v>
      </c>
      <c r="D423" s="86" t="s">
        <v>4</v>
      </c>
      <c r="E423" s="74">
        <v>7.4</v>
      </c>
      <c r="F423" s="75">
        <v>5198.3500000000004</v>
      </c>
      <c r="G423" s="76">
        <v>0</v>
      </c>
      <c r="H423" s="75">
        <f t="shared" si="172"/>
        <v>5198.3500000000004</v>
      </c>
      <c r="I423" s="76">
        <f t="shared" ref="I423" si="174">H423*(1+$J$4)</f>
        <v>6757.8550000000005</v>
      </c>
      <c r="J423" s="77">
        <f>E423*I423</f>
        <v>50008.127000000008</v>
      </c>
      <c r="K423" s="280" t="s">
        <v>1168</v>
      </c>
      <c r="L423" s="281"/>
      <c r="M423" s="281"/>
    </row>
    <row r="424" spans="1:13" s="12" customFormat="1" outlineLevel="1">
      <c r="A424" s="63" t="s">
        <v>183</v>
      </c>
      <c r="B424" s="63"/>
      <c r="C424" s="96" t="s">
        <v>658</v>
      </c>
      <c r="D424" s="65"/>
      <c r="E424" s="66"/>
      <c r="F424" s="67"/>
      <c r="G424" s="67"/>
      <c r="H424" s="68"/>
      <c r="I424" s="68"/>
      <c r="J424" s="69"/>
      <c r="K424" s="280"/>
      <c r="L424" s="281"/>
      <c r="M424" s="281"/>
    </row>
    <row r="425" spans="1:13" s="12" customFormat="1" ht="34.5" customHeight="1" outlineLevel="1">
      <c r="A425" s="71" t="s">
        <v>365</v>
      </c>
      <c r="B425" s="124" t="s">
        <v>158</v>
      </c>
      <c r="C425" s="94" t="s">
        <v>258</v>
      </c>
      <c r="D425" s="86" t="s">
        <v>226</v>
      </c>
      <c r="E425" s="74">
        <v>1</v>
      </c>
      <c r="F425" s="75">
        <v>13307.77</v>
      </c>
      <c r="G425" s="76">
        <v>0</v>
      </c>
      <c r="H425" s="75">
        <f t="shared" ref="H425:H426" si="175">F425+G425</f>
        <v>13307.77</v>
      </c>
      <c r="I425" s="76">
        <f t="shared" ref="I425:I426" si="176">H425*(1+$J$4)</f>
        <v>17300.101000000002</v>
      </c>
      <c r="J425" s="77">
        <f>E425*I425</f>
        <v>17300.101000000002</v>
      </c>
      <c r="K425" s="280"/>
      <c r="L425" s="281"/>
      <c r="M425" s="281"/>
    </row>
    <row r="426" spans="1:13" s="12" customFormat="1" ht="33.75" outlineLevel="1">
      <c r="A426" s="71" t="s">
        <v>366</v>
      </c>
      <c r="B426" s="124" t="s">
        <v>158</v>
      </c>
      <c r="C426" s="94" t="s">
        <v>259</v>
      </c>
      <c r="D426" s="86" t="s">
        <v>226</v>
      </c>
      <c r="E426" s="74">
        <v>2</v>
      </c>
      <c r="F426" s="75">
        <v>18963.330000000002</v>
      </c>
      <c r="G426" s="76">
        <v>0</v>
      </c>
      <c r="H426" s="75">
        <f t="shared" si="175"/>
        <v>18963.330000000002</v>
      </c>
      <c r="I426" s="76">
        <f t="shared" si="176"/>
        <v>24652.329000000002</v>
      </c>
      <c r="J426" s="77">
        <f>E426*I426</f>
        <v>49304.658000000003</v>
      </c>
      <c r="K426" s="280" t="s">
        <v>1168</v>
      </c>
      <c r="L426" s="281"/>
      <c r="M426" s="281"/>
    </row>
    <row r="427" spans="1:13" s="12" customFormat="1" outlineLevel="1">
      <c r="A427" s="63" t="s">
        <v>641</v>
      </c>
      <c r="B427" s="63"/>
      <c r="C427" s="96" t="s">
        <v>660</v>
      </c>
      <c r="D427" s="65"/>
      <c r="E427" s="66"/>
      <c r="F427" s="67"/>
      <c r="G427" s="67"/>
      <c r="H427" s="68"/>
      <c r="I427" s="68"/>
      <c r="J427" s="69"/>
      <c r="K427" s="280"/>
      <c r="L427" s="281"/>
      <c r="M427" s="281"/>
    </row>
    <row r="428" spans="1:13" s="12" customFormat="1" ht="33.75" outlineLevel="1">
      <c r="A428" s="71" t="s">
        <v>365</v>
      </c>
      <c r="B428" s="124" t="s">
        <v>158</v>
      </c>
      <c r="C428" s="94" t="s">
        <v>661</v>
      </c>
      <c r="D428" s="86" t="s">
        <v>4</v>
      </c>
      <c r="E428" s="74">
        <v>18.18</v>
      </c>
      <c r="F428" s="75">
        <v>1164.8800000000001</v>
      </c>
      <c r="G428" s="76">
        <v>0</v>
      </c>
      <c r="H428" s="75">
        <f t="shared" ref="H428:H429" si="177">F428+G428</f>
        <v>1164.8800000000001</v>
      </c>
      <c r="I428" s="76">
        <f t="shared" ref="I428" si="178">H428*(1+$J$4)</f>
        <v>1514.3440000000003</v>
      </c>
      <c r="J428" s="77">
        <f>E428*I428</f>
        <v>27530.773920000003</v>
      </c>
      <c r="K428" s="280"/>
      <c r="L428" s="281"/>
      <c r="M428" s="281"/>
    </row>
    <row r="429" spans="1:13" s="12" customFormat="1" ht="33.75" outlineLevel="1">
      <c r="A429" s="71" t="s">
        <v>366</v>
      </c>
      <c r="B429" s="124" t="s">
        <v>158</v>
      </c>
      <c r="C429" s="94" t="s">
        <v>663</v>
      </c>
      <c r="D429" s="86" t="s">
        <v>4</v>
      </c>
      <c r="E429" s="74">
        <v>7.48</v>
      </c>
      <c r="F429" s="75">
        <v>1164.8800000000001</v>
      </c>
      <c r="G429" s="76">
        <v>0</v>
      </c>
      <c r="H429" s="75">
        <f t="shared" si="177"/>
        <v>1164.8800000000001</v>
      </c>
      <c r="I429" s="76">
        <f t="shared" ref="I429" si="179">H429*(1+$J$4)</f>
        <v>1514.3440000000003</v>
      </c>
      <c r="J429" s="77">
        <f>E429*I429</f>
        <v>11327.293120000002</v>
      </c>
      <c r="K429" s="280" t="s">
        <v>1168</v>
      </c>
      <c r="L429" s="281"/>
      <c r="M429" s="281"/>
    </row>
    <row r="430" spans="1:13" s="12" customFormat="1">
      <c r="A430" s="58" t="s">
        <v>160</v>
      </c>
      <c r="B430" s="58"/>
      <c r="C430" s="91" t="s">
        <v>265</v>
      </c>
      <c r="D430" s="59"/>
      <c r="E430" s="59"/>
      <c r="F430" s="60"/>
      <c r="G430" s="60"/>
      <c r="H430" s="61"/>
      <c r="I430" s="61"/>
      <c r="J430" s="62">
        <f ca="1">SUM(OFFSET(J430,1,,,):OFFSET(J451,-1,,,))</f>
        <v>303398.14700000006</v>
      </c>
      <c r="K430" s="280"/>
      <c r="L430" s="281"/>
      <c r="M430" s="281"/>
    </row>
    <row r="431" spans="1:13" s="12" customFormat="1" outlineLevel="1">
      <c r="A431" s="63" t="s">
        <v>161</v>
      </c>
      <c r="B431" s="63"/>
      <c r="C431" s="96" t="s">
        <v>617</v>
      </c>
      <c r="D431" s="65"/>
      <c r="E431" s="66"/>
      <c r="F431" s="67"/>
      <c r="G431" s="67"/>
      <c r="H431" s="68"/>
      <c r="I431" s="68"/>
      <c r="J431" s="69"/>
      <c r="K431" s="280"/>
      <c r="L431" s="281"/>
      <c r="M431" s="281"/>
    </row>
    <row r="432" spans="1:13" s="5" customFormat="1" ht="45" outlineLevel="1">
      <c r="A432" s="124" t="s">
        <v>301</v>
      </c>
      <c r="B432" s="93" t="s">
        <v>158</v>
      </c>
      <c r="C432" s="117" t="s">
        <v>370</v>
      </c>
      <c r="D432" s="95" t="s">
        <v>8</v>
      </c>
      <c r="E432" s="74">
        <v>2</v>
      </c>
      <c r="F432" s="75">
        <v>2318.33</v>
      </c>
      <c r="G432" s="75">
        <v>0</v>
      </c>
      <c r="H432" s="75">
        <f t="shared" ref="H432:H435" si="180">F432+G432</f>
        <v>2318.33</v>
      </c>
      <c r="I432" s="76">
        <f t="shared" ref="I432" si="181">H432*(1+$J$4)</f>
        <v>3013.8290000000002</v>
      </c>
      <c r="J432" s="77">
        <f>E432*I432</f>
        <v>6027.6580000000004</v>
      </c>
      <c r="K432" s="280" t="s">
        <v>1168</v>
      </c>
      <c r="L432" s="281"/>
      <c r="M432" s="281"/>
    </row>
    <row r="433" spans="1:13" s="12" customFormat="1" ht="45" outlineLevel="1">
      <c r="A433" s="124" t="s">
        <v>302</v>
      </c>
      <c r="B433" s="93" t="s">
        <v>158</v>
      </c>
      <c r="C433" s="125" t="s">
        <v>884</v>
      </c>
      <c r="D433" s="86" t="s">
        <v>8</v>
      </c>
      <c r="E433" s="87">
        <v>1</v>
      </c>
      <c r="F433" s="75">
        <v>2862.33</v>
      </c>
      <c r="G433" s="75">
        <v>0</v>
      </c>
      <c r="H433" s="75">
        <f t="shared" si="180"/>
        <v>2862.33</v>
      </c>
      <c r="I433" s="76">
        <f t="shared" ref="I433:I435" si="182">H433*(1+$J$4)</f>
        <v>3721.029</v>
      </c>
      <c r="J433" s="77">
        <f>E433*I433</f>
        <v>3721.029</v>
      </c>
      <c r="K433" s="280"/>
      <c r="L433" s="281"/>
      <c r="M433" s="281"/>
    </row>
    <row r="434" spans="1:13" s="12" customFormat="1" ht="45" outlineLevel="1">
      <c r="A434" s="124" t="s">
        <v>373</v>
      </c>
      <c r="B434" s="93" t="s">
        <v>158</v>
      </c>
      <c r="C434" s="125" t="s">
        <v>883</v>
      </c>
      <c r="D434" s="86" t="s">
        <v>8</v>
      </c>
      <c r="E434" s="87">
        <v>1</v>
      </c>
      <c r="F434" s="75">
        <v>3346.33</v>
      </c>
      <c r="G434" s="75">
        <v>0</v>
      </c>
      <c r="H434" s="75">
        <f t="shared" si="180"/>
        <v>3346.33</v>
      </c>
      <c r="I434" s="76">
        <f t="shared" si="182"/>
        <v>4350.2290000000003</v>
      </c>
      <c r="J434" s="77">
        <f>E434*I434</f>
        <v>4350.2290000000003</v>
      </c>
      <c r="K434" s="280"/>
      <c r="L434" s="281"/>
      <c r="M434" s="281"/>
    </row>
    <row r="435" spans="1:13" s="12" customFormat="1" ht="56.25" outlineLevel="1">
      <c r="A435" s="124" t="s">
        <v>374</v>
      </c>
      <c r="B435" s="93" t="s">
        <v>158</v>
      </c>
      <c r="C435" s="125" t="s">
        <v>885</v>
      </c>
      <c r="D435" s="86" t="s">
        <v>8</v>
      </c>
      <c r="E435" s="87">
        <v>8</v>
      </c>
      <c r="F435" s="75">
        <v>1416.67</v>
      </c>
      <c r="G435" s="75">
        <v>0</v>
      </c>
      <c r="H435" s="75">
        <f t="shared" si="180"/>
        <v>1416.67</v>
      </c>
      <c r="I435" s="76">
        <f t="shared" si="182"/>
        <v>1841.671</v>
      </c>
      <c r="J435" s="77">
        <f>E435*I435</f>
        <v>14733.368</v>
      </c>
      <c r="K435" s="280" t="s">
        <v>1168</v>
      </c>
      <c r="L435" s="281"/>
      <c r="M435" s="281"/>
    </row>
    <row r="436" spans="1:13" s="12" customFormat="1" outlineLevel="1">
      <c r="A436" s="63" t="s">
        <v>174</v>
      </c>
      <c r="B436" s="63"/>
      <c r="C436" s="96" t="s">
        <v>618</v>
      </c>
      <c r="D436" s="65"/>
      <c r="E436" s="66"/>
      <c r="F436" s="67"/>
      <c r="G436" s="67"/>
      <c r="H436" s="68"/>
      <c r="I436" s="68"/>
      <c r="J436" s="69"/>
      <c r="K436" s="280"/>
      <c r="L436" s="281"/>
      <c r="M436" s="281"/>
    </row>
    <row r="437" spans="1:13" s="5" customFormat="1" ht="45" outlineLevel="1">
      <c r="A437" s="124" t="s">
        <v>377</v>
      </c>
      <c r="B437" s="93" t="s">
        <v>158</v>
      </c>
      <c r="C437" s="117" t="s">
        <v>367</v>
      </c>
      <c r="D437" s="95" t="s">
        <v>8</v>
      </c>
      <c r="E437" s="74">
        <v>3</v>
      </c>
      <c r="F437" s="75">
        <v>2676.67</v>
      </c>
      <c r="G437" s="75">
        <v>0</v>
      </c>
      <c r="H437" s="75">
        <f t="shared" ref="H437:H439" si="183">F437+G437</f>
        <v>2676.67</v>
      </c>
      <c r="I437" s="76">
        <f>H437*(1+$J$4)</f>
        <v>3479.6710000000003</v>
      </c>
      <c r="J437" s="77">
        <f>E437*I437</f>
        <v>10439.013000000001</v>
      </c>
      <c r="K437" s="280"/>
      <c r="L437" s="281"/>
      <c r="M437" s="281"/>
    </row>
    <row r="438" spans="1:13" s="5" customFormat="1" ht="33.75" outlineLevel="1">
      <c r="A438" s="124" t="s">
        <v>378</v>
      </c>
      <c r="B438" s="93" t="s">
        <v>158</v>
      </c>
      <c r="C438" s="117" t="s">
        <v>368</v>
      </c>
      <c r="D438" s="95" t="s">
        <v>8</v>
      </c>
      <c r="E438" s="74">
        <v>3</v>
      </c>
      <c r="F438" s="75">
        <v>2299.67</v>
      </c>
      <c r="G438" s="75">
        <v>0</v>
      </c>
      <c r="H438" s="75">
        <f t="shared" si="183"/>
        <v>2299.67</v>
      </c>
      <c r="I438" s="76">
        <f t="shared" ref="I438:I442" si="184">H438*(1+$J$4)</f>
        <v>2989.5710000000004</v>
      </c>
      <c r="J438" s="77">
        <f>E438*I438</f>
        <v>8968.7130000000016</v>
      </c>
      <c r="K438" s="280" t="s">
        <v>1168</v>
      </c>
      <c r="L438" s="281"/>
      <c r="M438" s="281"/>
    </row>
    <row r="439" spans="1:13" s="12" customFormat="1" ht="33.75" outlineLevel="1">
      <c r="A439" s="124" t="s">
        <v>613</v>
      </c>
      <c r="B439" s="93" t="s">
        <v>158</v>
      </c>
      <c r="C439" s="125" t="s">
        <v>382</v>
      </c>
      <c r="D439" s="86" t="s">
        <v>8</v>
      </c>
      <c r="E439" s="87">
        <v>18</v>
      </c>
      <c r="F439" s="75">
        <v>676</v>
      </c>
      <c r="G439" s="75">
        <v>0</v>
      </c>
      <c r="H439" s="75">
        <f t="shared" si="183"/>
        <v>676</v>
      </c>
      <c r="I439" s="76">
        <f>H439*(1+$J$4)</f>
        <v>878.80000000000007</v>
      </c>
      <c r="J439" s="77">
        <f>E439*I439</f>
        <v>15818.400000000001</v>
      </c>
      <c r="K439" s="280"/>
      <c r="L439" s="281"/>
      <c r="M439" s="281"/>
    </row>
    <row r="440" spans="1:13" s="12" customFormat="1" outlineLevel="1">
      <c r="A440" s="63" t="s">
        <v>178</v>
      </c>
      <c r="B440" s="63"/>
      <c r="C440" s="96" t="s">
        <v>619</v>
      </c>
      <c r="D440" s="65"/>
      <c r="E440" s="66"/>
      <c r="F440" s="67"/>
      <c r="G440" s="67"/>
      <c r="H440" s="68"/>
      <c r="I440" s="68"/>
      <c r="J440" s="69"/>
      <c r="K440" s="280"/>
      <c r="L440" s="281"/>
      <c r="M440" s="281"/>
    </row>
    <row r="441" spans="1:13" s="5" customFormat="1" ht="33.75" outlineLevel="1">
      <c r="A441" s="124" t="s">
        <v>379</v>
      </c>
      <c r="B441" s="93" t="s">
        <v>158</v>
      </c>
      <c r="C441" s="117" t="s">
        <v>371</v>
      </c>
      <c r="D441" s="95" t="s">
        <v>8</v>
      </c>
      <c r="E441" s="74">
        <v>1</v>
      </c>
      <c r="F441" s="75">
        <v>11300</v>
      </c>
      <c r="G441" s="75">
        <v>0</v>
      </c>
      <c r="H441" s="75">
        <f t="shared" ref="H441:H442" si="185">F441+G441</f>
        <v>11300</v>
      </c>
      <c r="I441" s="76">
        <f t="shared" si="184"/>
        <v>14690</v>
      </c>
      <c r="J441" s="77">
        <f>E441*I441</f>
        <v>14690</v>
      </c>
      <c r="K441" s="280" t="s">
        <v>1168</v>
      </c>
      <c r="L441" s="281"/>
      <c r="M441" s="281"/>
    </row>
    <row r="442" spans="1:13" s="12" customFormat="1" ht="56.25" outlineLevel="1">
      <c r="A442" s="124" t="s">
        <v>380</v>
      </c>
      <c r="B442" s="93" t="s">
        <v>158</v>
      </c>
      <c r="C442" s="125" t="s">
        <v>885</v>
      </c>
      <c r="D442" s="86" t="s">
        <v>8</v>
      </c>
      <c r="E442" s="87">
        <v>19</v>
      </c>
      <c r="F442" s="75">
        <v>1416.67</v>
      </c>
      <c r="G442" s="75">
        <v>0</v>
      </c>
      <c r="H442" s="75">
        <f t="shared" si="185"/>
        <v>1416.67</v>
      </c>
      <c r="I442" s="76">
        <f t="shared" si="184"/>
        <v>1841.671</v>
      </c>
      <c r="J442" s="77">
        <f>E442*I442</f>
        <v>34991.749000000003</v>
      </c>
      <c r="K442" s="280"/>
      <c r="L442" s="281"/>
      <c r="M442" s="281"/>
    </row>
    <row r="443" spans="1:13" s="12" customFormat="1" outlineLevel="1">
      <c r="A443" s="63" t="s">
        <v>609</v>
      </c>
      <c r="B443" s="63"/>
      <c r="C443" s="96" t="s">
        <v>620</v>
      </c>
      <c r="D443" s="65"/>
      <c r="E443" s="66"/>
      <c r="F443" s="67"/>
      <c r="G443" s="67"/>
      <c r="H443" s="68"/>
      <c r="I443" s="68"/>
      <c r="J443" s="69"/>
      <c r="K443" s="280"/>
      <c r="L443" s="281"/>
      <c r="M443" s="281"/>
    </row>
    <row r="444" spans="1:13" s="5" customFormat="1" ht="45" outlineLevel="1">
      <c r="A444" s="124" t="s">
        <v>612</v>
      </c>
      <c r="B444" s="93" t="s">
        <v>158</v>
      </c>
      <c r="C444" s="117" t="s">
        <v>886</v>
      </c>
      <c r="D444" s="95" t="s">
        <v>8</v>
      </c>
      <c r="E444" s="74">
        <v>11</v>
      </c>
      <c r="F444" s="75">
        <v>7450</v>
      </c>
      <c r="G444" s="75">
        <v>0</v>
      </c>
      <c r="H444" s="75">
        <f t="shared" ref="H444:H445" si="186">F444+G444</f>
        <v>7450</v>
      </c>
      <c r="I444" s="76">
        <f>H444*(1+$J$4)</f>
        <v>9685</v>
      </c>
      <c r="J444" s="77">
        <f>E444*I444</f>
        <v>106535</v>
      </c>
      <c r="K444" s="280" t="s">
        <v>1168</v>
      </c>
      <c r="L444" s="281"/>
      <c r="M444" s="281"/>
    </row>
    <row r="445" spans="1:13" s="12" customFormat="1" ht="33.75" outlineLevel="1">
      <c r="A445" s="124" t="s">
        <v>614</v>
      </c>
      <c r="B445" s="93" t="s">
        <v>158</v>
      </c>
      <c r="C445" s="125" t="s">
        <v>383</v>
      </c>
      <c r="D445" s="86" t="s">
        <v>8</v>
      </c>
      <c r="E445" s="87">
        <v>18</v>
      </c>
      <c r="F445" s="75">
        <v>1659.67</v>
      </c>
      <c r="G445" s="75">
        <v>0</v>
      </c>
      <c r="H445" s="75">
        <f t="shared" si="186"/>
        <v>1659.67</v>
      </c>
      <c r="I445" s="76">
        <f t="shared" ref="I445" si="187">H445*(1+$J$4)</f>
        <v>2157.5710000000004</v>
      </c>
      <c r="J445" s="77">
        <f>E445*I445</f>
        <v>38836.278000000006</v>
      </c>
      <c r="K445" s="280"/>
      <c r="L445" s="281"/>
      <c r="M445" s="281"/>
    </row>
    <row r="446" spans="1:13" s="12" customFormat="1" outlineLevel="1">
      <c r="A446" s="63" t="s">
        <v>611</v>
      </c>
      <c r="B446" s="63"/>
      <c r="C446" s="96" t="s">
        <v>621</v>
      </c>
      <c r="D446" s="65"/>
      <c r="E446" s="66"/>
      <c r="F446" s="67"/>
      <c r="G446" s="67"/>
      <c r="H446" s="68"/>
      <c r="I446" s="68"/>
      <c r="J446" s="69"/>
      <c r="K446" s="280"/>
      <c r="L446" s="281"/>
      <c r="M446" s="281"/>
    </row>
    <row r="447" spans="1:13" s="5" customFormat="1" ht="45" outlineLevel="1">
      <c r="A447" s="124" t="s">
        <v>615</v>
      </c>
      <c r="B447" s="93" t="s">
        <v>158</v>
      </c>
      <c r="C447" s="117" t="s">
        <v>886</v>
      </c>
      <c r="D447" s="95" t="s">
        <v>8</v>
      </c>
      <c r="E447" s="74">
        <v>2</v>
      </c>
      <c r="F447" s="75">
        <v>7450</v>
      </c>
      <c r="G447" s="75">
        <v>0</v>
      </c>
      <c r="H447" s="75">
        <f t="shared" ref="H447:H448" si="188">F447+G447</f>
        <v>7450</v>
      </c>
      <c r="I447" s="76">
        <f>H447*(1+$J$4)</f>
        <v>9685</v>
      </c>
      <c r="J447" s="77">
        <f>E447*I447</f>
        <v>19370</v>
      </c>
      <c r="K447" s="280" t="s">
        <v>1168</v>
      </c>
      <c r="L447" s="281"/>
      <c r="M447" s="281"/>
    </row>
    <row r="448" spans="1:13" s="12" customFormat="1" ht="56.25" outlineLevel="1">
      <c r="A448" s="124" t="s">
        <v>616</v>
      </c>
      <c r="B448" s="93" t="s">
        <v>158</v>
      </c>
      <c r="C448" s="125" t="s">
        <v>885</v>
      </c>
      <c r="D448" s="86" t="s">
        <v>8</v>
      </c>
      <c r="E448" s="87">
        <v>10</v>
      </c>
      <c r="F448" s="75">
        <v>1416.67</v>
      </c>
      <c r="G448" s="75">
        <v>0</v>
      </c>
      <c r="H448" s="75">
        <f t="shared" si="188"/>
        <v>1416.67</v>
      </c>
      <c r="I448" s="76">
        <f t="shared" ref="I448" si="189">H448*(1+$J$4)</f>
        <v>1841.671</v>
      </c>
      <c r="J448" s="77">
        <f>E448*I448</f>
        <v>18416.71</v>
      </c>
      <c r="K448" s="280"/>
      <c r="L448" s="281"/>
      <c r="M448" s="281"/>
    </row>
    <row r="449" spans="1:13" s="12" customFormat="1" outlineLevel="1">
      <c r="A449" s="63" t="s">
        <v>855</v>
      </c>
      <c r="B449" s="63"/>
      <c r="C449" s="96" t="s">
        <v>859</v>
      </c>
      <c r="D449" s="65"/>
      <c r="E449" s="66"/>
      <c r="F449" s="67"/>
      <c r="G449" s="67"/>
      <c r="H449" s="68"/>
      <c r="I449" s="68"/>
      <c r="J449" s="69"/>
      <c r="K449" s="280"/>
      <c r="L449" s="281"/>
      <c r="M449" s="281"/>
    </row>
    <row r="450" spans="1:13" s="5" customFormat="1" ht="22.5" outlineLevel="1">
      <c r="A450" s="124" t="s">
        <v>615</v>
      </c>
      <c r="B450" s="93"/>
      <c r="C450" s="117" t="s">
        <v>857</v>
      </c>
      <c r="D450" s="95" t="s">
        <v>7</v>
      </c>
      <c r="E450" s="74">
        <v>1</v>
      </c>
      <c r="F450" s="75">
        <v>5000</v>
      </c>
      <c r="G450" s="75">
        <v>0</v>
      </c>
      <c r="H450" s="75">
        <f t="shared" ref="H450" si="190">F450+G450</f>
        <v>5000</v>
      </c>
      <c r="I450" s="76">
        <f>H450*(1+$J$4)</f>
        <v>6500</v>
      </c>
      <c r="J450" s="77">
        <f>E450*I450</f>
        <v>6500</v>
      </c>
      <c r="K450" s="280" t="s">
        <v>1168</v>
      </c>
      <c r="L450" s="281"/>
      <c r="M450" s="281"/>
    </row>
    <row r="451" spans="1:13" s="12" customFormat="1">
      <c r="A451" s="58" t="s">
        <v>170</v>
      </c>
      <c r="B451" s="58"/>
      <c r="C451" s="91" t="s">
        <v>169</v>
      </c>
      <c r="D451" s="59"/>
      <c r="E451" s="59"/>
      <c r="F451" s="60"/>
      <c r="G451" s="60"/>
      <c r="H451" s="61"/>
      <c r="I451" s="61"/>
      <c r="J451" s="62">
        <f ca="1">SUM(OFFSET(J451,1,,,):OFFSET(J472,-1,,,))</f>
        <v>232431.342</v>
      </c>
      <c r="K451" s="280"/>
      <c r="L451" s="281"/>
      <c r="M451" s="281"/>
    </row>
    <row r="452" spans="1:13" s="12" customFormat="1" outlineLevel="1">
      <c r="A452" s="63" t="s">
        <v>171</v>
      </c>
      <c r="B452" s="63"/>
      <c r="C452" s="96" t="s">
        <v>619</v>
      </c>
      <c r="D452" s="65"/>
      <c r="E452" s="66"/>
      <c r="F452" s="67"/>
      <c r="G452" s="67"/>
      <c r="H452" s="68"/>
      <c r="I452" s="68"/>
      <c r="J452" s="69"/>
      <c r="K452" s="280"/>
      <c r="L452" s="281"/>
      <c r="M452" s="281"/>
    </row>
    <row r="453" spans="1:13" s="12" customFormat="1" ht="33.75" outlineLevel="1">
      <c r="A453" s="71" t="s">
        <v>384</v>
      </c>
      <c r="B453" s="124" t="s">
        <v>158</v>
      </c>
      <c r="C453" s="94" t="s">
        <v>635</v>
      </c>
      <c r="D453" s="86" t="s">
        <v>8</v>
      </c>
      <c r="E453" s="74">
        <v>1</v>
      </c>
      <c r="F453" s="75">
        <v>2500</v>
      </c>
      <c r="G453" s="76">
        <v>0</v>
      </c>
      <c r="H453" s="75">
        <f t="shared" ref="H453:H455" si="191">F453+G453</f>
        <v>2500</v>
      </c>
      <c r="I453" s="76">
        <f t="shared" ref="I453:I454" si="192">H453*(1+$J$4)</f>
        <v>3250</v>
      </c>
      <c r="J453" s="77">
        <f>E453*I453</f>
        <v>3250</v>
      </c>
      <c r="K453" s="280" t="s">
        <v>1168</v>
      </c>
      <c r="L453" s="281"/>
      <c r="M453" s="281"/>
    </row>
    <row r="454" spans="1:13" s="12" customFormat="1" ht="56.25" outlineLevel="1">
      <c r="A454" s="71" t="s">
        <v>385</v>
      </c>
      <c r="B454" s="124" t="s">
        <v>158</v>
      </c>
      <c r="C454" s="94" t="s">
        <v>668</v>
      </c>
      <c r="D454" s="86" t="s">
        <v>8</v>
      </c>
      <c r="E454" s="74">
        <v>1</v>
      </c>
      <c r="F454" s="75">
        <v>5540</v>
      </c>
      <c r="G454" s="76">
        <v>0</v>
      </c>
      <c r="H454" s="75">
        <f t="shared" si="191"/>
        <v>5540</v>
      </c>
      <c r="I454" s="76">
        <f t="shared" si="192"/>
        <v>7202</v>
      </c>
      <c r="J454" s="77">
        <f>E454*I454</f>
        <v>7202</v>
      </c>
      <c r="K454" s="280"/>
      <c r="L454" s="281"/>
      <c r="M454" s="281"/>
    </row>
    <row r="455" spans="1:13" s="12" customFormat="1" ht="56.25" outlineLevel="1">
      <c r="A455" s="71" t="s">
        <v>626</v>
      </c>
      <c r="B455" s="124" t="s">
        <v>158</v>
      </c>
      <c r="C455" s="94" t="s">
        <v>669</v>
      </c>
      <c r="D455" s="86" t="s">
        <v>8</v>
      </c>
      <c r="E455" s="74">
        <v>1</v>
      </c>
      <c r="F455" s="75">
        <v>6566.67</v>
      </c>
      <c r="G455" s="76">
        <v>0</v>
      </c>
      <c r="H455" s="75">
        <f t="shared" si="191"/>
        <v>6566.67</v>
      </c>
      <c r="I455" s="76">
        <f t="shared" ref="I455" si="193">H455*(1+$J$4)</f>
        <v>8536.6710000000003</v>
      </c>
      <c r="J455" s="77">
        <f>E455*I455</f>
        <v>8536.6710000000003</v>
      </c>
      <c r="K455" s="280"/>
      <c r="L455" s="281"/>
      <c r="M455" s="281"/>
    </row>
    <row r="456" spans="1:13" s="12" customFormat="1" outlineLevel="1">
      <c r="A456" s="63" t="s">
        <v>303</v>
      </c>
      <c r="B456" s="63"/>
      <c r="C456" s="96" t="s">
        <v>670</v>
      </c>
      <c r="D456" s="65"/>
      <c r="E456" s="66"/>
      <c r="F456" s="67"/>
      <c r="G456" s="67"/>
      <c r="H456" s="68"/>
      <c r="I456" s="68"/>
      <c r="J456" s="69"/>
      <c r="K456" s="280" t="s">
        <v>1168</v>
      </c>
      <c r="L456" s="281"/>
      <c r="M456" s="281"/>
    </row>
    <row r="457" spans="1:13" s="12" customFormat="1" ht="67.5" outlineLevel="1">
      <c r="A457" s="71" t="s">
        <v>622</v>
      </c>
      <c r="B457" s="124" t="s">
        <v>158</v>
      </c>
      <c r="C457" s="94" t="s">
        <v>878</v>
      </c>
      <c r="D457" s="86" t="s">
        <v>8</v>
      </c>
      <c r="E457" s="74">
        <v>1</v>
      </c>
      <c r="F457" s="75">
        <v>12280</v>
      </c>
      <c r="G457" s="76">
        <v>0</v>
      </c>
      <c r="H457" s="75">
        <f t="shared" ref="H457:H458" si="194">F457+G457</f>
        <v>12280</v>
      </c>
      <c r="I457" s="76">
        <f t="shared" ref="I457:I458" si="195">H457*(1+$J$4)</f>
        <v>15964</v>
      </c>
      <c r="J457" s="77">
        <f>E457*I457</f>
        <v>15964</v>
      </c>
      <c r="K457" s="280"/>
      <c r="L457" s="281"/>
      <c r="M457" s="281"/>
    </row>
    <row r="458" spans="1:13" s="12" customFormat="1" ht="56.25" outlineLevel="1">
      <c r="A458" s="71" t="s">
        <v>644</v>
      </c>
      <c r="B458" s="124" t="s">
        <v>158</v>
      </c>
      <c r="C458" s="94" t="s">
        <v>645</v>
      </c>
      <c r="D458" s="86" t="s">
        <v>8</v>
      </c>
      <c r="E458" s="74">
        <v>1</v>
      </c>
      <c r="F458" s="75">
        <v>4820</v>
      </c>
      <c r="G458" s="76">
        <v>0</v>
      </c>
      <c r="H458" s="75">
        <f t="shared" si="194"/>
        <v>4820</v>
      </c>
      <c r="I458" s="76">
        <f t="shared" si="195"/>
        <v>6266</v>
      </c>
      <c r="J458" s="77">
        <f>E458*I458</f>
        <v>6266</v>
      </c>
      <c r="K458" s="280"/>
      <c r="L458" s="281"/>
      <c r="M458" s="281"/>
    </row>
    <row r="459" spans="1:13" s="12" customFormat="1" outlineLevel="1">
      <c r="A459" s="63" t="s">
        <v>623</v>
      </c>
      <c r="B459" s="63"/>
      <c r="C459" s="96" t="s">
        <v>671</v>
      </c>
      <c r="D459" s="65"/>
      <c r="E459" s="66"/>
      <c r="F459" s="67"/>
      <c r="G459" s="67"/>
      <c r="H459" s="68"/>
      <c r="I459" s="68"/>
      <c r="J459" s="69"/>
      <c r="K459" s="280" t="s">
        <v>1168</v>
      </c>
      <c r="L459" s="281"/>
      <c r="M459" s="281"/>
    </row>
    <row r="460" spans="1:13" s="12" customFormat="1" ht="67.5" outlineLevel="1">
      <c r="A460" s="71" t="s">
        <v>630</v>
      </c>
      <c r="B460" s="124" t="s">
        <v>158</v>
      </c>
      <c r="C460" s="94" t="s">
        <v>879</v>
      </c>
      <c r="D460" s="86" t="s">
        <v>8</v>
      </c>
      <c r="E460" s="74">
        <v>1</v>
      </c>
      <c r="F460" s="75">
        <v>12280</v>
      </c>
      <c r="G460" s="76">
        <v>0</v>
      </c>
      <c r="H460" s="75">
        <f t="shared" ref="H460:H463" si="196">F460+G460</f>
        <v>12280</v>
      </c>
      <c r="I460" s="76">
        <f t="shared" ref="I460:I463" si="197">H460*(1+$J$4)</f>
        <v>15964</v>
      </c>
      <c r="J460" s="77">
        <f>E460*I460</f>
        <v>15964</v>
      </c>
      <c r="K460" s="280"/>
      <c r="L460" s="281"/>
      <c r="M460" s="281"/>
    </row>
    <row r="461" spans="1:13" s="12" customFormat="1" ht="67.5" outlineLevel="1">
      <c r="A461" s="71" t="s">
        <v>646</v>
      </c>
      <c r="B461" s="124" t="s">
        <v>158</v>
      </c>
      <c r="C461" s="94" t="s">
        <v>880</v>
      </c>
      <c r="D461" s="86" t="s">
        <v>8</v>
      </c>
      <c r="E461" s="74">
        <v>1</v>
      </c>
      <c r="F461" s="75">
        <v>20466.669999999998</v>
      </c>
      <c r="G461" s="76">
        <v>0</v>
      </c>
      <c r="H461" s="75">
        <f t="shared" si="196"/>
        <v>20466.669999999998</v>
      </c>
      <c r="I461" s="76">
        <f t="shared" si="197"/>
        <v>26606.670999999998</v>
      </c>
      <c r="J461" s="77">
        <f>E461*I461</f>
        <v>26606.670999999998</v>
      </c>
      <c r="K461" s="280"/>
      <c r="L461" s="281"/>
      <c r="M461" s="281"/>
    </row>
    <row r="462" spans="1:13" s="12" customFormat="1" ht="56.25" outlineLevel="1">
      <c r="A462" s="71" t="s">
        <v>647</v>
      </c>
      <c r="B462" s="124" t="s">
        <v>158</v>
      </c>
      <c r="C462" s="94" t="s">
        <v>668</v>
      </c>
      <c r="D462" s="86" t="s">
        <v>8</v>
      </c>
      <c r="E462" s="74">
        <v>1</v>
      </c>
      <c r="F462" s="75">
        <v>11441.67</v>
      </c>
      <c r="G462" s="76">
        <v>0</v>
      </c>
      <c r="H462" s="75">
        <f t="shared" si="196"/>
        <v>11441.67</v>
      </c>
      <c r="I462" s="76">
        <f t="shared" si="197"/>
        <v>14874.171</v>
      </c>
      <c r="J462" s="77">
        <f>E462*I462</f>
        <v>14874.171</v>
      </c>
      <c r="K462" s="280" t="s">
        <v>1168</v>
      </c>
      <c r="L462" s="281"/>
      <c r="M462" s="281"/>
    </row>
    <row r="463" spans="1:13" s="12" customFormat="1" ht="33.75" outlineLevel="1">
      <c r="A463" s="71" t="s">
        <v>649</v>
      </c>
      <c r="B463" s="124" t="s">
        <v>158</v>
      </c>
      <c r="C463" s="94" t="s">
        <v>672</v>
      </c>
      <c r="D463" s="86" t="s">
        <v>8</v>
      </c>
      <c r="E463" s="74">
        <v>1</v>
      </c>
      <c r="F463" s="75">
        <v>2000</v>
      </c>
      <c r="G463" s="76">
        <v>0</v>
      </c>
      <c r="H463" s="75">
        <f t="shared" si="196"/>
        <v>2000</v>
      </c>
      <c r="I463" s="76">
        <f t="shared" si="197"/>
        <v>2600</v>
      </c>
      <c r="J463" s="77">
        <f>E463*I463</f>
        <v>2600</v>
      </c>
      <c r="K463" s="280"/>
      <c r="L463" s="281"/>
      <c r="M463" s="281"/>
    </row>
    <row r="464" spans="1:13" s="12" customFormat="1" outlineLevel="1">
      <c r="A464" s="63" t="s">
        <v>628</v>
      </c>
      <c r="B464" s="63"/>
      <c r="C464" s="96" t="s">
        <v>673</v>
      </c>
      <c r="D464" s="65"/>
      <c r="E464" s="66"/>
      <c r="F464" s="67"/>
      <c r="G464" s="67"/>
      <c r="H464" s="68"/>
      <c r="I464" s="68"/>
      <c r="J464" s="69"/>
      <c r="K464" s="280"/>
      <c r="L464" s="281"/>
      <c r="M464" s="281"/>
    </row>
    <row r="465" spans="1:13" s="12" customFormat="1" ht="44.25" customHeight="1" outlineLevel="1">
      <c r="A465" s="71" t="s">
        <v>629</v>
      </c>
      <c r="B465" s="124" t="s">
        <v>158</v>
      </c>
      <c r="C465" s="94" t="s">
        <v>650</v>
      </c>
      <c r="D465" s="86" t="s">
        <v>8</v>
      </c>
      <c r="E465" s="74">
        <v>1</v>
      </c>
      <c r="F465" s="75">
        <v>5463.33</v>
      </c>
      <c r="G465" s="76">
        <v>0</v>
      </c>
      <c r="H465" s="75">
        <f t="shared" ref="H465" si="198">F465+G465</f>
        <v>5463.33</v>
      </c>
      <c r="I465" s="76">
        <f t="shared" ref="I465:I468" si="199">H465*(1+$J$4)</f>
        <v>7102.3289999999997</v>
      </c>
      <c r="J465" s="77">
        <f>E465*I465</f>
        <v>7102.3289999999997</v>
      </c>
      <c r="K465" s="280" t="s">
        <v>1168</v>
      </c>
      <c r="L465" s="281"/>
      <c r="M465" s="281"/>
    </row>
    <row r="466" spans="1:13" s="12" customFormat="1" ht="56.25" outlineLevel="1">
      <c r="A466" s="71" t="s">
        <v>652</v>
      </c>
      <c r="B466" s="124" t="s">
        <v>158</v>
      </c>
      <c r="C466" s="94" t="s">
        <v>651</v>
      </c>
      <c r="D466" s="86" t="s">
        <v>8</v>
      </c>
      <c r="E466" s="74">
        <v>1</v>
      </c>
      <c r="F466" s="75">
        <v>15826.15</v>
      </c>
      <c r="G466" s="76">
        <v>0</v>
      </c>
      <c r="H466" s="75">
        <f t="shared" ref="H466:H468" si="200">F466+G466</f>
        <v>15826.15</v>
      </c>
      <c r="I466" s="76">
        <f t="shared" si="199"/>
        <v>20573.994999999999</v>
      </c>
      <c r="J466" s="77">
        <f>E466*I466</f>
        <v>20573.994999999999</v>
      </c>
      <c r="K466" s="280"/>
      <c r="L466" s="281"/>
      <c r="M466" s="281"/>
    </row>
    <row r="467" spans="1:13" s="12" customFormat="1" ht="56.25" outlineLevel="1">
      <c r="A467" s="71" t="s">
        <v>653</v>
      </c>
      <c r="B467" s="124" t="s">
        <v>158</v>
      </c>
      <c r="C467" s="94" t="s">
        <v>654</v>
      </c>
      <c r="D467" s="86" t="s">
        <v>8</v>
      </c>
      <c r="E467" s="74">
        <v>1</v>
      </c>
      <c r="F467" s="75">
        <v>10833.65</v>
      </c>
      <c r="G467" s="76">
        <v>0</v>
      </c>
      <c r="H467" s="75">
        <f t="shared" si="200"/>
        <v>10833.65</v>
      </c>
      <c r="I467" s="76">
        <f t="shared" si="199"/>
        <v>14083.745000000001</v>
      </c>
      <c r="J467" s="77">
        <f>E467*I467</f>
        <v>14083.745000000001</v>
      </c>
      <c r="K467" s="280"/>
      <c r="L467" s="281"/>
      <c r="M467" s="281"/>
    </row>
    <row r="468" spans="1:13" s="12" customFormat="1" ht="56.25" outlineLevel="1">
      <c r="A468" s="71" t="s">
        <v>655</v>
      </c>
      <c r="B468" s="124" t="s">
        <v>158</v>
      </c>
      <c r="C468" s="94" t="s">
        <v>656</v>
      </c>
      <c r="D468" s="86" t="s">
        <v>8</v>
      </c>
      <c r="E468" s="74">
        <v>1</v>
      </c>
      <c r="F468" s="75">
        <v>5415.2</v>
      </c>
      <c r="G468" s="76">
        <v>0</v>
      </c>
      <c r="H468" s="75">
        <f t="shared" si="200"/>
        <v>5415.2</v>
      </c>
      <c r="I468" s="76">
        <f t="shared" si="199"/>
        <v>7039.76</v>
      </c>
      <c r="J468" s="77">
        <f>E468*I468</f>
        <v>7039.76</v>
      </c>
      <c r="K468" s="280" t="s">
        <v>1168</v>
      </c>
      <c r="L468" s="281"/>
      <c r="M468" s="281"/>
    </row>
    <row r="469" spans="1:13" s="12" customFormat="1" outlineLevel="1">
      <c r="A469" s="63" t="s">
        <v>632</v>
      </c>
      <c r="B469" s="63"/>
      <c r="C469" s="96" t="s">
        <v>674</v>
      </c>
      <c r="D469" s="65"/>
      <c r="E469" s="66"/>
      <c r="F469" s="67"/>
      <c r="G469" s="67"/>
      <c r="H469" s="68"/>
      <c r="I469" s="68"/>
      <c r="J469" s="69"/>
      <c r="K469" s="280"/>
      <c r="L469" s="281"/>
      <c r="M469" s="281"/>
    </row>
    <row r="470" spans="1:13" s="12" customFormat="1" ht="45" outlineLevel="1">
      <c r="A470" s="71" t="s">
        <v>633</v>
      </c>
      <c r="B470" s="124" t="s">
        <v>158</v>
      </c>
      <c r="C470" s="94" t="s">
        <v>881</v>
      </c>
      <c r="D470" s="86" t="s">
        <v>8</v>
      </c>
      <c r="E470" s="74">
        <v>1</v>
      </c>
      <c r="F470" s="75">
        <v>30723.33</v>
      </c>
      <c r="G470" s="76">
        <v>0</v>
      </c>
      <c r="H470" s="75">
        <f t="shared" ref="H470:H471" si="201">F470+G470</f>
        <v>30723.33</v>
      </c>
      <c r="I470" s="76">
        <f t="shared" ref="I470:I471" si="202">H470*(1+$J$4)</f>
        <v>39940.329000000005</v>
      </c>
      <c r="J470" s="77">
        <f>E470*I470</f>
        <v>39940.329000000005</v>
      </c>
      <c r="K470" s="280"/>
      <c r="L470" s="281"/>
      <c r="M470" s="281"/>
    </row>
    <row r="471" spans="1:13" s="12" customFormat="1" ht="45" customHeight="1" outlineLevel="1">
      <c r="A471" s="71" t="s">
        <v>666</v>
      </c>
      <c r="B471" s="124" t="s">
        <v>158</v>
      </c>
      <c r="C471" s="94" t="s">
        <v>667</v>
      </c>
      <c r="D471" s="86" t="s">
        <v>8</v>
      </c>
      <c r="E471" s="74">
        <v>1</v>
      </c>
      <c r="F471" s="75">
        <v>32636.67</v>
      </c>
      <c r="G471" s="76">
        <v>0</v>
      </c>
      <c r="H471" s="75">
        <f t="shared" si="201"/>
        <v>32636.67</v>
      </c>
      <c r="I471" s="76">
        <f t="shared" si="202"/>
        <v>42427.671000000002</v>
      </c>
      <c r="J471" s="77">
        <f>E471*I471</f>
        <v>42427.671000000002</v>
      </c>
      <c r="K471" s="280" t="s">
        <v>1168</v>
      </c>
      <c r="L471" s="281"/>
      <c r="M471" s="281"/>
    </row>
    <row r="472" spans="1:13" s="12" customFormat="1">
      <c r="A472" s="58" t="s">
        <v>172</v>
      </c>
      <c r="B472" s="58"/>
      <c r="C472" s="91" t="s">
        <v>78</v>
      </c>
      <c r="D472" s="59"/>
      <c r="E472" s="59"/>
      <c r="F472" s="60"/>
      <c r="G472" s="60"/>
      <c r="H472" s="61"/>
      <c r="I472" s="61"/>
      <c r="J472" s="62">
        <f ca="1">SUM(OFFSET(J472,1,,,):OFFSET(J480,-1,,,))</f>
        <v>36643.879999999997</v>
      </c>
      <c r="K472" s="280"/>
      <c r="L472" s="281"/>
      <c r="M472" s="281"/>
    </row>
    <row r="473" spans="1:13" s="12" customFormat="1" outlineLevel="1">
      <c r="A473" s="92" t="s">
        <v>173</v>
      </c>
      <c r="B473" s="93" t="s">
        <v>158</v>
      </c>
      <c r="C473" s="94" t="s">
        <v>391</v>
      </c>
      <c r="D473" s="95" t="s">
        <v>8</v>
      </c>
      <c r="E473" s="74">
        <v>1</v>
      </c>
      <c r="F473" s="75">
        <v>629</v>
      </c>
      <c r="G473" s="76">
        <v>0</v>
      </c>
      <c r="H473" s="75">
        <f t="shared" ref="H473:H479" si="203">F473+G473</f>
        <v>629</v>
      </c>
      <c r="I473" s="76">
        <f t="shared" ref="I473:I479" si="204">H473*(1+$J$4)</f>
        <v>817.7</v>
      </c>
      <c r="J473" s="77">
        <f t="shared" ref="J473:J479" si="205">E473*I473</f>
        <v>817.7</v>
      </c>
      <c r="K473" s="280"/>
      <c r="L473" s="281"/>
      <c r="M473" s="281"/>
    </row>
    <row r="474" spans="1:13" s="12" customFormat="1" ht="22.5" outlineLevel="1">
      <c r="A474" s="92" t="s">
        <v>210</v>
      </c>
      <c r="B474" s="93" t="s">
        <v>158</v>
      </c>
      <c r="C474" s="94" t="s">
        <v>882</v>
      </c>
      <c r="D474" s="95" t="s">
        <v>8</v>
      </c>
      <c r="E474" s="74">
        <v>1</v>
      </c>
      <c r="F474" s="75">
        <v>3853.07</v>
      </c>
      <c r="G474" s="76">
        <v>0</v>
      </c>
      <c r="H474" s="75">
        <f t="shared" si="203"/>
        <v>3853.07</v>
      </c>
      <c r="I474" s="76">
        <f t="shared" si="204"/>
        <v>5008.991</v>
      </c>
      <c r="J474" s="77">
        <f t="shared" si="205"/>
        <v>5008.991</v>
      </c>
      <c r="K474" s="280" t="s">
        <v>1168</v>
      </c>
      <c r="L474" s="281"/>
      <c r="M474" s="281"/>
    </row>
    <row r="475" spans="1:13" s="12" customFormat="1" outlineLevel="1">
      <c r="A475" s="92" t="s">
        <v>211</v>
      </c>
      <c r="B475" s="93" t="s">
        <v>158</v>
      </c>
      <c r="C475" s="94" t="s">
        <v>392</v>
      </c>
      <c r="D475" s="95" t="s">
        <v>8</v>
      </c>
      <c r="E475" s="74">
        <v>1</v>
      </c>
      <c r="F475" s="75">
        <v>667.14</v>
      </c>
      <c r="G475" s="76">
        <v>0</v>
      </c>
      <c r="H475" s="75">
        <f t="shared" si="203"/>
        <v>667.14</v>
      </c>
      <c r="I475" s="76">
        <f t="shared" si="204"/>
        <v>867.28200000000004</v>
      </c>
      <c r="J475" s="77">
        <f t="shared" si="205"/>
        <v>867.28200000000004</v>
      </c>
      <c r="K475" s="280"/>
      <c r="L475" s="281"/>
      <c r="M475" s="281"/>
    </row>
    <row r="476" spans="1:13" s="12" customFormat="1" ht="22.5" outlineLevel="1">
      <c r="A476" s="92" t="s">
        <v>387</v>
      </c>
      <c r="B476" s="93" t="s">
        <v>158</v>
      </c>
      <c r="C476" s="94" t="s">
        <v>393</v>
      </c>
      <c r="D476" s="95" t="s">
        <v>8</v>
      </c>
      <c r="E476" s="74">
        <v>1</v>
      </c>
      <c r="F476" s="75">
        <v>4759.68</v>
      </c>
      <c r="G476" s="76">
        <v>0</v>
      </c>
      <c r="H476" s="75">
        <f t="shared" si="203"/>
        <v>4759.68</v>
      </c>
      <c r="I476" s="76">
        <f t="shared" si="204"/>
        <v>6187.5840000000007</v>
      </c>
      <c r="J476" s="77">
        <f t="shared" si="205"/>
        <v>6187.5840000000007</v>
      </c>
      <c r="K476" s="280"/>
      <c r="L476" s="281"/>
      <c r="M476" s="281"/>
    </row>
    <row r="477" spans="1:13" s="12" customFormat="1" ht="22.5" outlineLevel="1">
      <c r="A477" s="92" t="s">
        <v>388</v>
      </c>
      <c r="B477" s="93" t="s">
        <v>158</v>
      </c>
      <c r="C477" s="94" t="s">
        <v>394</v>
      </c>
      <c r="D477" s="95" t="s">
        <v>8</v>
      </c>
      <c r="E477" s="74">
        <v>2</v>
      </c>
      <c r="F477" s="75">
        <v>6055.23</v>
      </c>
      <c r="G477" s="76">
        <v>0</v>
      </c>
      <c r="H477" s="75">
        <f t="shared" si="203"/>
        <v>6055.23</v>
      </c>
      <c r="I477" s="76">
        <f t="shared" si="204"/>
        <v>7871.799</v>
      </c>
      <c r="J477" s="77">
        <f t="shared" si="205"/>
        <v>15743.598</v>
      </c>
      <c r="K477" s="280" t="s">
        <v>1168</v>
      </c>
      <c r="L477" s="281"/>
      <c r="M477" s="281"/>
    </row>
    <row r="478" spans="1:13" s="12" customFormat="1" outlineLevel="1">
      <c r="A478" s="92" t="s">
        <v>389</v>
      </c>
      <c r="B478" s="93" t="s">
        <v>158</v>
      </c>
      <c r="C478" s="94" t="s">
        <v>395</v>
      </c>
      <c r="D478" s="95" t="s">
        <v>8</v>
      </c>
      <c r="E478" s="74">
        <v>1</v>
      </c>
      <c r="F478" s="75">
        <v>6101.3099999999995</v>
      </c>
      <c r="G478" s="76">
        <v>0</v>
      </c>
      <c r="H478" s="75">
        <f t="shared" si="203"/>
        <v>6101.3099999999995</v>
      </c>
      <c r="I478" s="76">
        <f t="shared" si="204"/>
        <v>7931.7029999999995</v>
      </c>
      <c r="J478" s="77">
        <f t="shared" si="205"/>
        <v>7931.7029999999995</v>
      </c>
      <c r="K478" s="280"/>
      <c r="L478" s="281"/>
      <c r="M478" s="281"/>
    </row>
    <row r="479" spans="1:13" s="12" customFormat="1" outlineLevel="1">
      <c r="A479" s="92" t="s">
        <v>390</v>
      </c>
      <c r="B479" s="93" t="s">
        <v>158</v>
      </c>
      <c r="C479" s="94" t="s">
        <v>396</v>
      </c>
      <c r="D479" s="95" t="s">
        <v>8</v>
      </c>
      <c r="E479" s="74">
        <v>1</v>
      </c>
      <c r="F479" s="75">
        <v>66.94</v>
      </c>
      <c r="G479" s="76">
        <v>0</v>
      </c>
      <c r="H479" s="75">
        <f t="shared" si="203"/>
        <v>66.94</v>
      </c>
      <c r="I479" s="76">
        <f t="shared" si="204"/>
        <v>87.022000000000006</v>
      </c>
      <c r="J479" s="77">
        <f t="shared" si="205"/>
        <v>87.022000000000006</v>
      </c>
      <c r="K479" s="280"/>
      <c r="L479" s="281"/>
      <c r="M479" s="281"/>
    </row>
    <row r="480" spans="1:13" s="12" customFormat="1">
      <c r="A480" s="58" t="s">
        <v>179</v>
      </c>
      <c r="B480" s="58"/>
      <c r="C480" s="91" t="s">
        <v>588</v>
      </c>
      <c r="D480" s="59"/>
      <c r="E480" s="59"/>
      <c r="F480" s="60"/>
      <c r="G480" s="60"/>
      <c r="H480" s="61"/>
      <c r="I480" s="61"/>
      <c r="J480" s="62">
        <f ca="1">SUM(OFFSET(J480,1,,,):OFFSET(J482,-1,,,))</f>
        <v>87692.293000000005</v>
      </c>
      <c r="K480" s="280" t="s">
        <v>1168</v>
      </c>
      <c r="L480" s="281"/>
      <c r="M480" s="281"/>
    </row>
    <row r="481" spans="1:13" s="12" customFormat="1" ht="103.5" customHeight="1" outlineLevel="1">
      <c r="A481" s="70" t="s">
        <v>184</v>
      </c>
      <c r="B481" s="93" t="s">
        <v>158</v>
      </c>
      <c r="C481" s="94" t="s">
        <v>1165</v>
      </c>
      <c r="D481" s="95" t="s">
        <v>8</v>
      </c>
      <c r="E481" s="74">
        <v>1</v>
      </c>
      <c r="F481" s="82">
        <v>67455.61</v>
      </c>
      <c r="G481" s="76">
        <v>0</v>
      </c>
      <c r="H481" s="75">
        <f t="shared" ref="H481" si="206">F481+G481</f>
        <v>67455.61</v>
      </c>
      <c r="I481" s="76">
        <f t="shared" ref="I481" si="207">H481*(1+$J$4)</f>
        <v>87692.293000000005</v>
      </c>
      <c r="J481" s="77">
        <f>E481*I481</f>
        <v>87692.293000000005</v>
      </c>
      <c r="K481" s="280"/>
      <c r="L481" s="281"/>
      <c r="M481" s="281"/>
    </row>
    <row r="482" spans="1:13" s="5" customFormat="1">
      <c r="A482" s="58" t="s">
        <v>185</v>
      </c>
      <c r="B482" s="58"/>
      <c r="C482" s="91" t="s">
        <v>21</v>
      </c>
      <c r="D482" s="59"/>
      <c r="E482" s="59"/>
      <c r="F482" s="60"/>
      <c r="G482" s="60"/>
      <c r="H482" s="61"/>
      <c r="I482" s="61"/>
      <c r="J482" s="62">
        <f ca="1">SUM(OFFSET(J482,1,,,):OFFSET(J484,-1,,,))</f>
        <v>10494.509999999998</v>
      </c>
      <c r="K482" s="280"/>
      <c r="L482" s="281"/>
      <c r="M482" s="281"/>
    </row>
    <row r="483" spans="1:13" outlineLevel="1">
      <c r="A483" s="70" t="s">
        <v>212</v>
      </c>
      <c r="B483" s="78">
        <v>200401</v>
      </c>
      <c r="C483" s="126" t="s">
        <v>10</v>
      </c>
      <c r="D483" s="73" t="s">
        <v>4</v>
      </c>
      <c r="E483" s="74">
        <v>710</v>
      </c>
      <c r="F483" s="82">
        <v>3.4</v>
      </c>
      <c r="G483" s="76">
        <v>7.97</v>
      </c>
      <c r="H483" s="75">
        <f t="shared" ref="H483" si="208">F483+G483</f>
        <v>11.37</v>
      </c>
      <c r="I483" s="76">
        <f t="shared" ref="I483" si="209">H483*(1+$J$4)</f>
        <v>14.780999999999999</v>
      </c>
      <c r="J483" s="77">
        <f>E483*I483</f>
        <v>10494.509999999998</v>
      </c>
      <c r="K483" s="280" t="s">
        <v>1168</v>
      </c>
      <c r="L483" s="281"/>
      <c r="M483" s="281"/>
    </row>
    <row r="484" spans="1:13">
      <c r="A484" s="127" t="s">
        <v>137</v>
      </c>
      <c r="B484" s="128"/>
      <c r="C484" s="129"/>
      <c r="D484" s="129"/>
      <c r="E484" s="129"/>
      <c r="F484" s="130"/>
      <c r="G484" s="130"/>
      <c r="H484" s="131"/>
      <c r="I484" s="131"/>
      <c r="J484" s="132">
        <f ca="1">SUM(J7:J483)/2</f>
        <v>2183321.7884960975</v>
      </c>
      <c r="K484" s="280"/>
      <c r="L484" s="281"/>
      <c r="M484" s="281"/>
    </row>
    <row r="485" spans="1:13">
      <c r="A485" s="133" t="s">
        <v>17</v>
      </c>
      <c r="B485" s="134"/>
      <c r="C485" s="135"/>
      <c r="D485" s="136"/>
      <c r="E485" s="137">
        <v>710</v>
      </c>
      <c r="F485" s="138"/>
      <c r="G485" s="139"/>
      <c r="H485" s="140"/>
      <c r="I485" s="140"/>
      <c r="J485" s="141" t="s">
        <v>4</v>
      </c>
      <c r="K485" s="280"/>
      <c r="L485" s="281"/>
      <c r="M485" s="281"/>
    </row>
    <row r="486" spans="1:13" ht="18.75" customHeight="1">
      <c r="A486" s="142" t="s">
        <v>20</v>
      </c>
      <c r="B486" s="143"/>
      <c r="C486" s="135"/>
      <c r="D486" s="136"/>
      <c r="E486" s="144">
        <f ca="1">J484/E485</f>
        <v>3075.1011105578837</v>
      </c>
      <c r="F486" s="145"/>
      <c r="G486" s="139"/>
      <c r="H486" s="140"/>
      <c r="I486" s="140"/>
      <c r="J486" s="141" t="s">
        <v>18</v>
      </c>
      <c r="K486" s="280" t="s">
        <v>1168</v>
      </c>
      <c r="L486" s="281"/>
      <c r="M486" s="281"/>
    </row>
    <row r="487" spans="1:13">
      <c r="K487" s="280"/>
      <c r="L487" s="281"/>
      <c r="M487" s="281"/>
    </row>
    <row r="488" spans="1:13">
      <c r="K488" s="280"/>
      <c r="L488" s="281"/>
      <c r="M488" s="281"/>
    </row>
    <row r="492" spans="1:13">
      <c r="E492" s="13"/>
    </row>
  </sheetData>
  <mergeCells count="177">
    <mergeCell ref="K477:M479"/>
    <mergeCell ref="K480:M482"/>
    <mergeCell ref="K483:M485"/>
    <mergeCell ref="K486:M488"/>
    <mergeCell ref="K462:M464"/>
    <mergeCell ref="K465:M467"/>
    <mergeCell ref="K468:M470"/>
    <mergeCell ref="K471:M473"/>
    <mergeCell ref="K474:M476"/>
    <mergeCell ref="K447:M449"/>
    <mergeCell ref="K450:M452"/>
    <mergeCell ref="K453:M455"/>
    <mergeCell ref="K456:M458"/>
    <mergeCell ref="K459:M461"/>
    <mergeCell ref="K432:M434"/>
    <mergeCell ref="K435:M437"/>
    <mergeCell ref="K438:M440"/>
    <mergeCell ref="K441:M443"/>
    <mergeCell ref="K444:M446"/>
    <mergeCell ref="K417:M419"/>
    <mergeCell ref="K420:M422"/>
    <mergeCell ref="K423:M425"/>
    <mergeCell ref="K426:M428"/>
    <mergeCell ref="K429:M431"/>
    <mergeCell ref="K402:M404"/>
    <mergeCell ref="K405:M407"/>
    <mergeCell ref="K408:M410"/>
    <mergeCell ref="K411:M413"/>
    <mergeCell ref="K414:M416"/>
    <mergeCell ref="K387:M389"/>
    <mergeCell ref="K390:M392"/>
    <mergeCell ref="K393:M395"/>
    <mergeCell ref="K396:M398"/>
    <mergeCell ref="K399:M401"/>
    <mergeCell ref="K372:M374"/>
    <mergeCell ref="K375:M377"/>
    <mergeCell ref="K378:M380"/>
    <mergeCell ref="K381:M383"/>
    <mergeCell ref="K384:M386"/>
    <mergeCell ref="K357:M359"/>
    <mergeCell ref="K360:M362"/>
    <mergeCell ref="K363:M365"/>
    <mergeCell ref="K366:M368"/>
    <mergeCell ref="K369:M371"/>
    <mergeCell ref="K342:M344"/>
    <mergeCell ref="K345:M347"/>
    <mergeCell ref="K348:M350"/>
    <mergeCell ref="K351:M353"/>
    <mergeCell ref="K354:M356"/>
    <mergeCell ref="K327:M329"/>
    <mergeCell ref="K330:M332"/>
    <mergeCell ref="K333:M335"/>
    <mergeCell ref="K336:M338"/>
    <mergeCell ref="K339:M341"/>
    <mergeCell ref="K312:M314"/>
    <mergeCell ref="K315:M317"/>
    <mergeCell ref="K318:M320"/>
    <mergeCell ref="K321:M323"/>
    <mergeCell ref="K324:M326"/>
    <mergeCell ref="K297:M299"/>
    <mergeCell ref="K300:M302"/>
    <mergeCell ref="K303:M305"/>
    <mergeCell ref="K306:M308"/>
    <mergeCell ref="K309:M311"/>
    <mergeCell ref="K282:M284"/>
    <mergeCell ref="K285:M287"/>
    <mergeCell ref="K288:M290"/>
    <mergeCell ref="K291:M293"/>
    <mergeCell ref="K294:M296"/>
    <mergeCell ref="K267:M269"/>
    <mergeCell ref="K270:M272"/>
    <mergeCell ref="K273:M275"/>
    <mergeCell ref="K276:M278"/>
    <mergeCell ref="K279:M281"/>
    <mergeCell ref="K252:M254"/>
    <mergeCell ref="K255:M257"/>
    <mergeCell ref="K258:M260"/>
    <mergeCell ref="K261:M263"/>
    <mergeCell ref="K264:M266"/>
    <mergeCell ref="K240:M242"/>
    <mergeCell ref="K243:M245"/>
    <mergeCell ref="K246:M248"/>
    <mergeCell ref="K249:M251"/>
    <mergeCell ref="K228:M230"/>
    <mergeCell ref="K231:M233"/>
    <mergeCell ref="K234:M236"/>
    <mergeCell ref="K237:M239"/>
    <mergeCell ref="K213:M215"/>
    <mergeCell ref="K216:M218"/>
    <mergeCell ref="K219:M221"/>
    <mergeCell ref="K222:M224"/>
    <mergeCell ref="K225:M227"/>
    <mergeCell ref="K198:M200"/>
    <mergeCell ref="K201:M203"/>
    <mergeCell ref="K204:M206"/>
    <mergeCell ref="K207:M209"/>
    <mergeCell ref="K210:M212"/>
    <mergeCell ref="K183:M185"/>
    <mergeCell ref="K186:M188"/>
    <mergeCell ref="K189:M191"/>
    <mergeCell ref="K192:M194"/>
    <mergeCell ref="K195:M197"/>
    <mergeCell ref="K168:M170"/>
    <mergeCell ref="K171:M173"/>
    <mergeCell ref="K174:M176"/>
    <mergeCell ref="K177:M179"/>
    <mergeCell ref="K180:M182"/>
    <mergeCell ref="K153:M155"/>
    <mergeCell ref="K156:M158"/>
    <mergeCell ref="K159:M161"/>
    <mergeCell ref="K162:M164"/>
    <mergeCell ref="K165:M167"/>
    <mergeCell ref="K138:M140"/>
    <mergeCell ref="K141:M143"/>
    <mergeCell ref="K144:M146"/>
    <mergeCell ref="K147:M149"/>
    <mergeCell ref="K150:M152"/>
    <mergeCell ref="K123:M125"/>
    <mergeCell ref="K126:M128"/>
    <mergeCell ref="K129:M131"/>
    <mergeCell ref="K132:M134"/>
    <mergeCell ref="K135:M137"/>
    <mergeCell ref="K108:M110"/>
    <mergeCell ref="K111:M113"/>
    <mergeCell ref="K114:M116"/>
    <mergeCell ref="K117:M119"/>
    <mergeCell ref="K120:M122"/>
    <mergeCell ref="K93:M95"/>
    <mergeCell ref="K96:M98"/>
    <mergeCell ref="K99:M101"/>
    <mergeCell ref="K102:M104"/>
    <mergeCell ref="K105:M107"/>
    <mergeCell ref="K78:M80"/>
    <mergeCell ref="K81:M83"/>
    <mergeCell ref="K84:M86"/>
    <mergeCell ref="K87:M89"/>
    <mergeCell ref="K90:M92"/>
    <mergeCell ref="K63:M65"/>
    <mergeCell ref="K66:M68"/>
    <mergeCell ref="K69:M71"/>
    <mergeCell ref="K72:M74"/>
    <mergeCell ref="K75:M77"/>
    <mergeCell ref="K48:M50"/>
    <mergeCell ref="K51:M53"/>
    <mergeCell ref="K54:M56"/>
    <mergeCell ref="K57:M59"/>
    <mergeCell ref="K60:M62"/>
    <mergeCell ref="K38:M39"/>
    <mergeCell ref="K40:M41"/>
    <mergeCell ref="K42:M44"/>
    <mergeCell ref="K45:M47"/>
    <mergeCell ref="K35:M37"/>
    <mergeCell ref="K20:M22"/>
    <mergeCell ref="K23:M25"/>
    <mergeCell ref="K26:M28"/>
    <mergeCell ref="K29:M31"/>
    <mergeCell ref="K32:M34"/>
    <mergeCell ref="K5:M7"/>
    <mergeCell ref="K8:M10"/>
    <mergeCell ref="K11:M13"/>
    <mergeCell ref="K14:M16"/>
    <mergeCell ref="K17:M19"/>
    <mergeCell ref="K1:M1"/>
    <mergeCell ref="K2:M4"/>
    <mergeCell ref="E486:F486"/>
    <mergeCell ref="A1:J1"/>
    <mergeCell ref="C2:F2"/>
    <mergeCell ref="C3:F3"/>
    <mergeCell ref="C4:F4"/>
    <mergeCell ref="F5:H5"/>
    <mergeCell ref="I5:I6"/>
    <mergeCell ref="J5:J6"/>
    <mergeCell ref="A5:A6"/>
    <mergeCell ref="C5:C6"/>
    <mergeCell ref="D5:D6"/>
    <mergeCell ref="E5:E6"/>
    <mergeCell ref="B5:B6"/>
  </mergeCells>
  <phoneticPr fontId="29" type="noConversion"/>
  <printOptions horizontalCentered="1"/>
  <pageMargins left="0.19685039370078741" right="0.19685039370078741" top="0.39370078740157483" bottom="0.59055118110236227" header="0" footer="0"/>
  <pageSetup paperSize="9" scale="70" orientation="landscape" r:id="rId1"/>
  <ignoredErrors>
    <ignoredError sqref="B59 B21" numberStoredAsText="1"/>
    <ignoredError sqref="J48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33"/>
    <pageSetUpPr fitToPage="1"/>
  </sheetPr>
  <dimension ref="A1:O1144"/>
  <sheetViews>
    <sheetView zoomScale="80" zoomScaleNormal="80" workbookViewId="0">
      <pane xSplit="4" ySplit="1" topLeftCell="E1116" activePane="bottomRight" state="frozen"/>
      <selection pane="topRight" activeCell="E1" sqref="E1"/>
      <selection pane="bottomLeft" activeCell="A4" sqref="A4"/>
      <selection pane="bottomRight" activeCell="J1137" sqref="J1137:L1139"/>
    </sheetView>
  </sheetViews>
  <sheetFormatPr defaultRowHeight="15.75" outlineLevelRow="1"/>
  <cols>
    <col min="1" max="1" width="15.140625" style="29" customWidth="1"/>
    <col min="2" max="2" width="72.85546875" style="31" customWidth="1"/>
    <col min="3" max="3" width="10.5703125" style="3" customWidth="1"/>
    <col min="4" max="4" width="14.42578125" style="32" bestFit="1" customWidth="1"/>
    <col min="5" max="5" width="12.85546875" style="30" bestFit="1" customWidth="1"/>
    <col min="6" max="6" width="16" style="30" bestFit="1" customWidth="1"/>
    <col min="7" max="8" width="12" style="30" customWidth="1"/>
    <col min="9" max="9" width="12.5703125" style="30" customWidth="1"/>
    <col min="10" max="11" width="25.7109375" style="24" customWidth="1"/>
    <col min="12" max="12" width="20.85546875" style="24" customWidth="1"/>
    <col min="13" max="256" width="9.140625" style="24"/>
    <col min="257" max="257" width="15.140625" style="24" customWidth="1"/>
    <col min="258" max="258" width="72.85546875" style="24" customWidth="1"/>
    <col min="259" max="259" width="10.5703125" style="24" customWidth="1"/>
    <col min="260" max="260" width="13.5703125" style="24" customWidth="1"/>
    <col min="261" max="261" width="12.85546875" style="24" bestFit="1" customWidth="1"/>
    <col min="262" max="264" width="12" style="24" customWidth="1"/>
    <col min="265" max="265" width="12.5703125" style="24" customWidth="1"/>
    <col min="266" max="512" width="9.140625" style="24"/>
    <col min="513" max="513" width="15.140625" style="24" customWidth="1"/>
    <col min="514" max="514" width="72.85546875" style="24" customWidth="1"/>
    <col min="515" max="515" width="10.5703125" style="24" customWidth="1"/>
    <col min="516" max="516" width="13.5703125" style="24" customWidth="1"/>
    <col min="517" max="517" width="12.85546875" style="24" bestFit="1" customWidth="1"/>
    <col min="518" max="520" width="12" style="24" customWidth="1"/>
    <col min="521" max="521" width="12.5703125" style="24" customWidth="1"/>
    <col min="522" max="768" width="9.140625" style="24"/>
    <col min="769" max="769" width="15.140625" style="24" customWidth="1"/>
    <col min="770" max="770" width="72.85546875" style="24" customWidth="1"/>
    <col min="771" max="771" width="10.5703125" style="24" customWidth="1"/>
    <col min="772" max="772" width="13.5703125" style="24" customWidth="1"/>
    <col min="773" max="773" width="12.85546875" style="24" bestFit="1" customWidth="1"/>
    <col min="774" max="776" width="12" style="24" customWidth="1"/>
    <col min="777" max="777" width="12.5703125" style="24" customWidth="1"/>
    <col min="778" max="1024" width="9.140625" style="24"/>
    <col min="1025" max="1025" width="15.140625" style="24" customWidth="1"/>
    <col min="1026" max="1026" width="72.85546875" style="24" customWidth="1"/>
    <col min="1027" max="1027" width="10.5703125" style="24" customWidth="1"/>
    <col min="1028" max="1028" width="13.5703125" style="24" customWidth="1"/>
    <col min="1029" max="1029" width="12.85546875" style="24" bestFit="1" customWidth="1"/>
    <col min="1030" max="1032" width="12" style="24" customWidth="1"/>
    <col min="1033" max="1033" width="12.5703125" style="24" customWidth="1"/>
    <col min="1034" max="1280" width="9.140625" style="24"/>
    <col min="1281" max="1281" width="15.140625" style="24" customWidth="1"/>
    <col min="1282" max="1282" width="72.85546875" style="24" customWidth="1"/>
    <col min="1283" max="1283" width="10.5703125" style="24" customWidth="1"/>
    <col min="1284" max="1284" width="13.5703125" style="24" customWidth="1"/>
    <col min="1285" max="1285" width="12.85546875" style="24" bestFit="1" customWidth="1"/>
    <col min="1286" max="1288" width="12" style="24" customWidth="1"/>
    <col min="1289" max="1289" width="12.5703125" style="24" customWidth="1"/>
    <col min="1290" max="1536" width="9.140625" style="24"/>
    <col min="1537" max="1537" width="15.140625" style="24" customWidth="1"/>
    <col min="1538" max="1538" width="72.85546875" style="24" customWidth="1"/>
    <col min="1539" max="1539" width="10.5703125" style="24" customWidth="1"/>
    <col min="1540" max="1540" width="13.5703125" style="24" customWidth="1"/>
    <col min="1541" max="1541" width="12.85546875" style="24" bestFit="1" customWidth="1"/>
    <col min="1542" max="1544" width="12" style="24" customWidth="1"/>
    <col min="1545" max="1545" width="12.5703125" style="24" customWidth="1"/>
    <col min="1546" max="1792" width="9.140625" style="24"/>
    <col min="1793" max="1793" width="15.140625" style="24" customWidth="1"/>
    <col min="1794" max="1794" width="72.85546875" style="24" customWidth="1"/>
    <col min="1795" max="1795" width="10.5703125" style="24" customWidth="1"/>
    <col min="1796" max="1796" width="13.5703125" style="24" customWidth="1"/>
    <col min="1797" max="1797" width="12.85546875" style="24" bestFit="1" customWidth="1"/>
    <col min="1798" max="1800" width="12" style="24" customWidth="1"/>
    <col min="1801" max="1801" width="12.5703125" style="24" customWidth="1"/>
    <col min="1802" max="2048" width="9.140625" style="24"/>
    <col min="2049" max="2049" width="15.140625" style="24" customWidth="1"/>
    <col min="2050" max="2050" width="72.85546875" style="24" customWidth="1"/>
    <col min="2051" max="2051" width="10.5703125" style="24" customWidth="1"/>
    <col min="2052" max="2052" width="13.5703125" style="24" customWidth="1"/>
    <col min="2053" max="2053" width="12.85546875" style="24" bestFit="1" customWidth="1"/>
    <col min="2054" max="2056" width="12" style="24" customWidth="1"/>
    <col min="2057" max="2057" width="12.5703125" style="24" customWidth="1"/>
    <col min="2058" max="2304" width="9.140625" style="24"/>
    <col min="2305" max="2305" width="15.140625" style="24" customWidth="1"/>
    <col min="2306" max="2306" width="72.85546875" style="24" customWidth="1"/>
    <col min="2307" max="2307" width="10.5703125" style="24" customWidth="1"/>
    <col min="2308" max="2308" width="13.5703125" style="24" customWidth="1"/>
    <col min="2309" max="2309" width="12.85546875" style="24" bestFit="1" customWidth="1"/>
    <col min="2310" max="2312" width="12" style="24" customWidth="1"/>
    <col min="2313" max="2313" width="12.5703125" style="24" customWidth="1"/>
    <col min="2314" max="2560" width="9.140625" style="24"/>
    <col min="2561" max="2561" width="15.140625" style="24" customWidth="1"/>
    <col min="2562" max="2562" width="72.85546875" style="24" customWidth="1"/>
    <col min="2563" max="2563" width="10.5703125" style="24" customWidth="1"/>
    <col min="2564" max="2564" width="13.5703125" style="24" customWidth="1"/>
    <col min="2565" max="2565" width="12.85546875" style="24" bestFit="1" customWidth="1"/>
    <col min="2566" max="2568" width="12" style="24" customWidth="1"/>
    <col min="2569" max="2569" width="12.5703125" style="24" customWidth="1"/>
    <col min="2570" max="2816" width="9.140625" style="24"/>
    <col min="2817" max="2817" width="15.140625" style="24" customWidth="1"/>
    <col min="2818" max="2818" width="72.85546875" style="24" customWidth="1"/>
    <col min="2819" max="2819" width="10.5703125" style="24" customWidth="1"/>
    <col min="2820" max="2820" width="13.5703125" style="24" customWidth="1"/>
    <col min="2821" max="2821" width="12.85546875" style="24" bestFit="1" customWidth="1"/>
    <col min="2822" max="2824" width="12" style="24" customWidth="1"/>
    <col min="2825" max="2825" width="12.5703125" style="24" customWidth="1"/>
    <col min="2826" max="3072" width="9.140625" style="24"/>
    <col min="3073" max="3073" width="15.140625" style="24" customWidth="1"/>
    <col min="3074" max="3074" width="72.85546875" style="24" customWidth="1"/>
    <col min="3075" max="3075" width="10.5703125" style="24" customWidth="1"/>
    <col min="3076" max="3076" width="13.5703125" style="24" customWidth="1"/>
    <col min="3077" max="3077" width="12.85546875" style="24" bestFit="1" customWidth="1"/>
    <col min="3078" max="3080" width="12" style="24" customWidth="1"/>
    <col min="3081" max="3081" width="12.5703125" style="24" customWidth="1"/>
    <col min="3082" max="3328" width="9.140625" style="24"/>
    <col min="3329" max="3329" width="15.140625" style="24" customWidth="1"/>
    <col min="3330" max="3330" width="72.85546875" style="24" customWidth="1"/>
    <col min="3331" max="3331" width="10.5703125" style="24" customWidth="1"/>
    <col min="3332" max="3332" width="13.5703125" style="24" customWidth="1"/>
    <col min="3333" max="3333" width="12.85546875" style="24" bestFit="1" customWidth="1"/>
    <col min="3334" max="3336" width="12" style="24" customWidth="1"/>
    <col min="3337" max="3337" width="12.5703125" style="24" customWidth="1"/>
    <col min="3338" max="3584" width="9.140625" style="24"/>
    <col min="3585" max="3585" width="15.140625" style="24" customWidth="1"/>
    <col min="3586" max="3586" width="72.85546875" style="24" customWidth="1"/>
    <col min="3587" max="3587" width="10.5703125" style="24" customWidth="1"/>
    <col min="3588" max="3588" width="13.5703125" style="24" customWidth="1"/>
    <col min="3589" max="3589" width="12.85546875" style="24" bestFit="1" customWidth="1"/>
    <col min="3590" max="3592" width="12" style="24" customWidth="1"/>
    <col min="3593" max="3593" width="12.5703125" style="24" customWidth="1"/>
    <col min="3594" max="3840" width="9.140625" style="24"/>
    <col min="3841" max="3841" width="15.140625" style="24" customWidth="1"/>
    <col min="3842" max="3842" width="72.85546875" style="24" customWidth="1"/>
    <col min="3843" max="3843" width="10.5703125" style="24" customWidth="1"/>
    <col min="3844" max="3844" width="13.5703125" style="24" customWidth="1"/>
    <col min="3845" max="3845" width="12.85546875" style="24" bestFit="1" customWidth="1"/>
    <col min="3846" max="3848" width="12" style="24" customWidth="1"/>
    <col min="3849" max="3849" width="12.5703125" style="24" customWidth="1"/>
    <col min="3850" max="4096" width="9.140625" style="24"/>
    <col min="4097" max="4097" width="15.140625" style="24" customWidth="1"/>
    <col min="4098" max="4098" width="72.85546875" style="24" customWidth="1"/>
    <col min="4099" max="4099" width="10.5703125" style="24" customWidth="1"/>
    <col min="4100" max="4100" width="13.5703125" style="24" customWidth="1"/>
    <col min="4101" max="4101" width="12.85546875" style="24" bestFit="1" customWidth="1"/>
    <col min="4102" max="4104" width="12" style="24" customWidth="1"/>
    <col min="4105" max="4105" width="12.5703125" style="24" customWidth="1"/>
    <col min="4106" max="4352" width="9.140625" style="24"/>
    <col min="4353" max="4353" width="15.140625" style="24" customWidth="1"/>
    <col min="4354" max="4354" width="72.85546875" style="24" customWidth="1"/>
    <col min="4355" max="4355" width="10.5703125" style="24" customWidth="1"/>
    <col min="4356" max="4356" width="13.5703125" style="24" customWidth="1"/>
    <col min="4357" max="4357" width="12.85546875" style="24" bestFit="1" customWidth="1"/>
    <col min="4358" max="4360" width="12" style="24" customWidth="1"/>
    <col min="4361" max="4361" width="12.5703125" style="24" customWidth="1"/>
    <col min="4362" max="4608" width="9.140625" style="24"/>
    <col min="4609" max="4609" width="15.140625" style="24" customWidth="1"/>
    <col min="4610" max="4610" width="72.85546875" style="24" customWidth="1"/>
    <col min="4611" max="4611" width="10.5703125" style="24" customWidth="1"/>
    <col min="4612" max="4612" width="13.5703125" style="24" customWidth="1"/>
    <col min="4613" max="4613" width="12.85546875" style="24" bestFit="1" customWidth="1"/>
    <col min="4614" max="4616" width="12" style="24" customWidth="1"/>
    <col min="4617" max="4617" width="12.5703125" style="24" customWidth="1"/>
    <col min="4618" max="4864" width="9.140625" style="24"/>
    <col min="4865" max="4865" width="15.140625" style="24" customWidth="1"/>
    <col min="4866" max="4866" width="72.85546875" style="24" customWidth="1"/>
    <col min="4867" max="4867" width="10.5703125" style="24" customWidth="1"/>
    <col min="4868" max="4868" width="13.5703125" style="24" customWidth="1"/>
    <col min="4869" max="4869" width="12.85546875" style="24" bestFit="1" customWidth="1"/>
    <col min="4870" max="4872" width="12" style="24" customWidth="1"/>
    <col min="4873" max="4873" width="12.5703125" style="24" customWidth="1"/>
    <col min="4874" max="5120" width="9.140625" style="24"/>
    <col min="5121" max="5121" width="15.140625" style="24" customWidth="1"/>
    <col min="5122" max="5122" width="72.85546875" style="24" customWidth="1"/>
    <col min="5123" max="5123" width="10.5703125" style="24" customWidth="1"/>
    <col min="5124" max="5124" width="13.5703125" style="24" customWidth="1"/>
    <col min="5125" max="5125" width="12.85546875" style="24" bestFit="1" customWidth="1"/>
    <col min="5126" max="5128" width="12" style="24" customWidth="1"/>
    <col min="5129" max="5129" width="12.5703125" style="24" customWidth="1"/>
    <col min="5130" max="5376" width="9.140625" style="24"/>
    <col min="5377" max="5377" width="15.140625" style="24" customWidth="1"/>
    <col min="5378" max="5378" width="72.85546875" style="24" customWidth="1"/>
    <col min="5379" max="5379" width="10.5703125" style="24" customWidth="1"/>
    <col min="5380" max="5380" width="13.5703125" style="24" customWidth="1"/>
    <col min="5381" max="5381" width="12.85546875" style="24" bestFit="1" customWidth="1"/>
    <col min="5382" max="5384" width="12" style="24" customWidth="1"/>
    <col min="5385" max="5385" width="12.5703125" style="24" customWidth="1"/>
    <col min="5386" max="5632" width="9.140625" style="24"/>
    <col min="5633" max="5633" width="15.140625" style="24" customWidth="1"/>
    <col min="5634" max="5634" width="72.85546875" style="24" customWidth="1"/>
    <col min="5635" max="5635" width="10.5703125" style="24" customWidth="1"/>
    <col min="5636" max="5636" width="13.5703125" style="24" customWidth="1"/>
    <col min="5637" max="5637" width="12.85546875" style="24" bestFit="1" customWidth="1"/>
    <col min="5638" max="5640" width="12" style="24" customWidth="1"/>
    <col min="5641" max="5641" width="12.5703125" style="24" customWidth="1"/>
    <col min="5642" max="5888" width="9.140625" style="24"/>
    <col min="5889" max="5889" width="15.140625" style="24" customWidth="1"/>
    <col min="5890" max="5890" width="72.85546875" style="24" customWidth="1"/>
    <col min="5891" max="5891" width="10.5703125" style="24" customWidth="1"/>
    <col min="5892" max="5892" width="13.5703125" style="24" customWidth="1"/>
    <col min="5893" max="5893" width="12.85546875" style="24" bestFit="1" customWidth="1"/>
    <col min="5894" max="5896" width="12" style="24" customWidth="1"/>
    <col min="5897" max="5897" width="12.5703125" style="24" customWidth="1"/>
    <col min="5898" max="6144" width="9.140625" style="24"/>
    <col min="6145" max="6145" width="15.140625" style="24" customWidth="1"/>
    <col min="6146" max="6146" width="72.85546875" style="24" customWidth="1"/>
    <col min="6147" max="6147" width="10.5703125" style="24" customWidth="1"/>
    <col min="6148" max="6148" width="13.5703125" style="24" customWidth="1"/>
    <col min="6149" max="6149" width="12.85546875" style="24" bestFit="1" customWidth="1"/>
    <col min="6150" max="6152" width="12" style="24" customWidth="1"/>
    <col min="6153" max="6153" width="12.5703125" style="24" customWidth="1"/>
    <col min="6154" max="6400" width="9.140625" style="24"/>
    <col min="6401" max="6401" width="15.140625" style="24" customWidth="1"/>
    <col min="6402" max="6402" width="72.85546875" style="24" customWidth="1"/>
    <col min="6403" max="6403" width="10.5703125" style="24" customWidth="1"/>
    <col min="6404" max="6404" width="13.5703125" style="24" customWidth="1"/>
    <col min="6405" max="6405" width="12.85546875" style="24" bestFit="1" customWidth="1"/>
    <col min="6406" max="6408" width="12" style="24" customWidth="1"/>
    <col min="6409" max="6409" width="12.5703125" style="24" customWidth="1"/>
    <col min="6410" max="6656" width="9.140625" style="24"/>
    <col min="6657" max="6657" width="15.140625" style="24" customWidth="1"/>
    <col min="6658" max="6658" width="72.85546875" style="24" customWidth="1"/>
    <col min="6659" max="6659" width="10.5703125" style="24" customWidth="1"/>
    <col min="6660" max="6660" width="13.5703125" style="24" customWidth="1"/>
    <col min="6661" max="6661" width="12.85546875" style="24" bestFit="1" customWidth="1"/>
    <col min="6662" max="6664" width="12" style="24" customWidth="1"/>
    <col min="6665" max="6665" width="12.5703125" style="24" customWidth="1"/>
    <col min="6666" max="6912" width="9.140625" style="24"/>
    <col min="6913" max="6913" width="15.140625" style="24" customWidth="1"/>
    <col min="6914" max="6914" width="72.85546875" style="24" customWidth="1"/>
    <col min="6915" max="6915" width="10.5703125" style="24" customWidth="1"/>
    <col min="6916" max="6916" width="13.5703125" style="24" customWidth="1"/>
    <col min="6917" max="6917" width="12.85546875" style="24" bestFit="1" customWidth="1"/>
    <col min="6918" max="6920" width="12" style="24" customWidth="1"/>
    <col min="6921" max="6921" width="12.5703125" style="24" customWidth="1"/>
    <col min="6922" max="7168" width="9.140625" style="24"/>
    <col min="7169" max="7169" width="15.140625" style="24" customWidth="1"/>
    <col min="7170" max="7170" width="72.85546875" style="24" customWidth="1"/>
    <col min="7171" max="7171" width="10.5703125" style="24" customWidth="1"/>
    <col min="7172" max="7172" width="13.5703125" style="24" customWidth="1"/>
    <col min="7173" max="7173" width="12.85546875" style="24" bestFit="1" customWidth="1"/>
    <col min="7174" max="7176" width="12" style="24" customWidth="1"/>
    <col min="7177" max="7177" width="12.5703125" style="24" customWidth="1"/>
    <col min="7178" max="7424" width="9.140625" style="24"/>
    <col min="7425" max="7425" width="15.140625" style="24" customWidth="1"/>
    <col min="7426" max="7426" width="72.85546875" style="24" customWidth="1"/>
    <col min="7427" max="7427" width="10.5703125" style="24" customWidth="1"/>
    <col min="7428" max="7428" width="13.5703125" style="24" customWidth="1"/>
    <col min="7429" max="7429" width="12.85546875" style="24" bestFit="1" customWidth="1"/>
    <col min="7430" max="7432" width="12" style="24" customWidth="1"/>
    <col min="7433" max="7433" width="12.5703125" style="24" customWidth="1"/>
    <col min="7434" max="7680" width="9.140625" style="24"/>
    <col min="7681" max="7681" width="15.140625" style="24" customWidth="1"/>
    <col min="7682" max="7682" width="72.85546875" style="24" customWidth="1"/>
    <col min="7683" max="7683" width="10.5703125" style="24" customWidth="1"/>
    <col min="7684" max="7684" width="13.5703125" style="24" customWidth="1"/>
    <col min="7685" max="7685" width="12.85546875" style="24" bestFit="1" customWidth="1"/>
    <col min="7686" max="7688" width="12" style="24" customWidth="1"/>
    <col min="7689" max="7689" width="12.5703125" style="24" customWidth="1"/>
    <col min="7690" max="7936" width="9.140625" style="24"/>
    <col min="7937" max="7937" width="15.140625" style="24" customWidth="1"/>
    <col min="7938" max="7938" width="72.85546875" style="24" customWidth="1"/>
    <col min="7939" max="7939" width="10.5703125" style="24" customWidth="1"/>
    <col min="7940" max="7940" width="13.5703125" style="24" customWidth="1"/>
    <col min="7941" max="7941" width="12.85546875" style="24" bestFit="1" customWidth="1"/>
    <col min="7942" max="7944" width="12" style="24" customWidth="1"/>
    <col min="7945" max="7945" width="12.5703125" style="24" customWidth="1"/>
    <col min="7946" max="8192" width="9.140625" style="24"/>
    <col min="8193" max="8193" width="15.140625" style="24" customWidth="1"/>
    <col min="8194" max="8194" width="72.85546875" style="24" customWidth="1"/>
    <col min="8195" max="8195" width="10.5703125" style="24" customWidth="1"/>
    <col min="8196" max="8196" width="13.5703125" style="24" customWidth="1"/>
    <col min="8197" max="8197" width="12.85546875" style="24" bestFit="1" customWidth="1"/>
    <col min="8198" max="8200" width="12" style="24" customWidth="1"/>
    <col min="8201" max="8201" width="12.5703125" style="24" customWidth="1"/>
    <col min="8202" max="8448" width="9.140625" style="24"/>
    <col min="8449" max="8449" width="15.140625" style="24" customWidth="1"/>
    <col min="8450" max="8450" width="72.85546875" style="24" customWidth="1"/>
    <col min="8451" max="8451" width="10.5703125" style="24" customWidth="1"/>
    <col min="8452" max="8452" width="13.5703125" style="24" customWidth="1"/>
    <col min="8453" max="8453" width="12.85546875" style="24" bestFit="1" customWidth="1"/>
    <col min="8454" max="8456" width="12" style="24" customWidth="1"/>
    <col min="8457" max="8457" width="12.5703125" style="24" customWidth="1"/>
    <col min="8458" max="8704" width="9.140625" style="24"/>
    <col min="8705" max="8705" width="15.140625" style="24" customWidth="1"/>
    <col min="8706" max="8706" width="72.85546875" style="24" customWidth="1"/>
    <col min="8707" max="8707" width="10.5703125" style="24" customWidth="1"/>
    <col min="8708" max="8708" width="13.5703125" style="24" customWidth="1"/>
    <col min="8709" max="8709" width="12.85546875" style="24" bestFit="1" customWidth="1"/>
    <col min="8710" max="8712" width="12" style="24" customWidth="1"/>
    <col min="8713" max="8713" width="12.5703125" style="24" customWidth="1"/>
    <col min="8714" max="8960" width="9.140625" style="24"/>
    <col min="8961" max="8961" width="15.140625" style="24" customWidth="1"/>
    <col min="8962" max="8962" width="72.85546875" style="24" customWidth="1"/>
    <col min="8963" max="8963" width="10.5703125" style="24" customWidth="1"/>
    <col min="8964" max="8964" width="13.5703125" style="24" customWidth="1"/>
    <col min="8965" max="8965" width="12.85546875" style="24" bestFit="1" customWidth="1"/>
    <col min="8966" max="8968" width="12" style="24" customWidth="1"/>
    <col min="8969" max="8969" width="12.5703125" style="24" customWidth="1"/>
    <col min="8970" max="9216" width="9.140625" style="24"/>
    <col min="9217" max="9217" width="15.140625" style="24" customWidth="1"/>
    <col min="9218" max="9218" width="72.85546875" style="24" customWidth="1"/>
    <col min="9219" max="9219" width="10.5703125" style="24" customWidth="1"/>
    <col min="9220" max="9220" width="13.5703125" style="24" customWidth="1"/>
    <col min="9221" max="9221" width="12.85546875" style="24" bestFit="1" customWidth="1"/>
    <col min="9222" max="9224" width="12" style="24" customWidth="1"/>
    <col min="9225" max="9225" width="12.5703125" style="24" customWidth="1"/>
    <col min="9226" max="9472" width="9.140625" style="24"/>
    <col min="9473" max="9473" width="15.140625" style="24" customWidth="1"/>
    <col min="9474" max="9474" width="72.85546875" style="24" customWidth="1"/>
    <col min="9475" max="9475" width="10.5703125" style="24" customWidth="1"/>
    <col min="9476" max="9476" width="13.5703125" style="24" customWidth="1"/>
    <col min="9477" max="9477" width="12.85546875" style="24" bestFit="1" customWidth="1"/>
    <col min="9478" max="9480" width="12" style="24" customWidth="1"/>
    <col min="9481" max="9481" width="12.5703125" style="24" customWidth="1"/>
    <col min="9482" max="9728" width="9.140625" style="24"/>
    <col min="9729" max="9729" width="15.140625" style="24" customWidth="1"/>
    <col min="9730" max="9730" width="72.85546875" style="24" customWidth="1"/>
    <col min="9731" max="9731" width="10.5703125" style="24" customWidth="1"/>
    <col min="9732" max="9732" width="13.5703125" style="24" customWidth="1"/>
    <col min="9733" max="9733" width="12.85546875" style="24" bestFit="1" customWidth="1"/>
    <col min="9734" max="9736" width="12" style="24" customWidth="1"/>
    <col min="9737" max="9737" width="12.5703125" style="24" customWidth="1"/>
    <col min="9738" max="9984" width="9.140625" style="24"/>
    <col min="9985" max="9985" width="15.140625" style="24" customWidth="1"/>
    <col min="9986" max="9986" width="72.85546875" style="24" customWidth="1"/>
    <col min="9987" max="9987" width="10.5703125" style="24" customWidth="1"/>
    <col min="9988" max="9988" width="13.5703125" style="24" customWidth="1"/>
    <col min="9989" max="9989" width="12.85546875" style="24" bestFit="1" customWidth="1"/>
    <col min="9990" max="9992" width="12" style="24" customWidth="1"/>
    <col min="9993" max="9993" width="12.5703125" style="24" customWidth="1"/>
    <col min="9994" max="10240" width="9.140625" style="24"/>
    <col min="10241" max="10241" width="15.140625" style="24" customWidth="1"/>
    <col min="10242" max="10242" width="72.85546875" style="24" customWidth="1"/>
    <col min="10243" max="10243" width="10.5703125" style="24" customWidth="1"/>
    <col min="10244" max="10244" width="13.5703125" style="24" customWidth="1"/>
    <col min="10245" max="10245" width="12.85546875" style="24" bestFit="1" customWidth="1"/>
    <col min="10246" max="10248" width="12" style="24" customWidth="1"/>
    <col min="10249" max="10249" width="12.5703125" style="24" customWidth="1"/>
    <col min="10250" max="10496" width="9.140625" style="24"/>
    <col min="10497" max="10497" width="15.140625" style="24" customWidth="1"/>
    <col min="10498" max="10498" width="72.85546875" style="24" customWidth="1"/>
    <col min="10499" max="10499" width="10.5703125" style="24" customWidth="1"/>
    <col min="10500" max="10500" width="13.5703125" style="24" customWidth="1"/>
    <col min="10501" max="10501" width="12.85546875" style="24" bestFit="1" customWidth="1"/>
    <col min="10502" max="10504" width="12" style="24" customWidth="1"/>
    <col min="10505" max="10505" width="12.5703125" style="24" customWidth="1"/>
    <col min="10506" max="10752" width="9.140625" style="24"/>
    <col min="10753" max="10753" width="15.140625" style="24" customWidth="1"/>
    <col min="10754" max="10754" width="72.85546875" style="24" customWidth="1"/>
    <col min="10755" max="10755" width="10.5703125" style="24" customWidth="1"/>
    <col min="10756" max="10756" width="13.5703125" style="24" customWidth="1"/>
    <col min="10757" max="10757" width="12.85546875" style="24" bestFit="1" customWidth="1"/>
    <col min="10758" max="10760" width="12" style="24" customWidth="1"/>
    <col min="10761" max="10761" width="12.5703125" style="24" customWidth="1"/>
    <col min="10762" max="11008" width="9.140625" style="24"/>
    <col min="11009" max="11009" width="15.140625" style="24" customWidth="1"/>
    <col min="11010" max="11010" width="72.85546875" style="24" customWidth="1"/>
    <col min="11011" max="11011" width="10.5703125" style="24" customWidth="1"/>
    <col min="11012" max="11012" width="13.5703125" style="24" customWidth="1"/>
    <col min="11013" max="11013" width="12.85546875" style="24" bestFit="1" customWidth="1"/>
    <col min="11014" max="11016" width="12" style="24" customWidth="1"/>
    <col min="11017" max="11017" width="12.5703125" style="24" customWidth="1"/>
    <col min="11018" max="11264" width="9.140625" style="24"/>
    <col min="11265" max="11265" width="15.140625" style="24" customWidth="1"/>
    <col min="11266" max="11266" width="72.85546875" style="24" customWidth="1"/>
    <col min="11267" max="11267" width="10.5703125" style="24" customWidth="1"/>
    <col min="11268" max="11268" width="13.5703125" style="24" customWidth="1"/>
    <col min="11269" max="11269" width="12.85546875" style="24" bestFit="1" customWidth="1"/>
    <col min="11270" max="11272" width="12" style="24" customWidth="1"/>
    <col min="11273" max="11273" width="12.5703125" style="24" customWidth="1"/>
    <col min="11274" max="11520" width="9.140625" style="24"/>
    <col min="11521" max="11521" width="15.140625" style="24" customWidth="1"/>
    <col min="11522" max="11522" width="72.85546875" style="24" customWidth="1"/>
    <col min="11523" max="11523" width="10.5703125" style="24" customWidth="1"/>
    <col min="11524" max="11524" width="13.5703125" style="24" customWidth="1"/>
    <col min="11525" max="11525" width="12.85546875" style="24" bestFit="1" customWidth="1"/>
    <col min="11526" max="11528" width="12" style="24" customWidth="1"/>
    <col min="11529" max="11529" width="12.5703125" style="24" customWidth="1"/>
    <col min="11530" max="11776" width="9.140625" style="24"/>
    <col min="11777" max="11777" width="15.140625" style="24" customWidth="1"/>
    <col min="11778" max="11778" width="72.85546875" style="24" customWidth="1"/>
    <col min="11779" max="11779" width="10.5703125" style="24" customWidth="1"/>
    <col min="11780" max="11780" width="13.5703125" style="24" customWidth="1"/>
    <col min="11781" max="11781" width="12.85546875" style="24" bestFit="1" customWidth="1"/>
    <col min="11782" max="11784" width="12" style="24" customWidth="1"/>
    <col min="11785" max="11785" width="12.5703125" style="24" customWidth="1"/>
    <col min="11786" max="12032" width="9.140625" style="24"/>
    <col min="12033" max="12033" width="15.140625" style="24" customWidth="1"/>
    <col min="12034" max="12034" width="72.85546875" style="24" customWidth="1"/>
    <col min="12035" max="12035" width="10.5703125" style="24" customWidth="1"/>
    <col min="12036" max="12036" width="13.5703125" style="24" customWidth="1"/>
    <col min="12037" max="12037" width="12.85546875" style="24" bestFit="1" customWidth="1"/>
    <col min="12038" max="12040" width="12" style="24" customWidth="1"/>
    <col min="12041" max="12041" width="12.5703125" style="24" customWidth="1"/>
    <col min="12042" max="12288" width="9.140625" style="24"/>
    <col min="12289" max="12289" width="15.140625" style="24" customWidth="1"/>
    <col min="12290" max="12290" width="72.85546875" style="24" customWidth="1"/>
    <col min="12291" max="12291" width="10.5703125" style="24" customWidth="1"/>
    <col min="12292" max="12292" width="13.5703125" style="24" customWidth="1"/>
    <col min="12293" max="12293" width="12.85546875" style="24" bestFit="1" customWidth="1"/>
    <col min="12294" max="12296" width="12" style="24" customWidth="1"/>
    <col min="12297" max="12297" width="12.5703125" style="24" customWidth="1"/>
    <col min="12298" max="12544" width="9.140625" style="24"/>
    <col min="12545" max="12545" width="15.140625" style="24" customWidth="1"/>
    <col min="12546" max="12546" width="72.85546875" style="24" customWidth="1"/>
    <col min="12547" max="12547" width="10.5703125" style="24" customWidth="1"/>
    <col min="12548" max="12548" width="13.5703125" style="24" customWidth="1"/>
    <col min="12549" max="12549" width="12.85546875" style="24" bestFit="1" customWidth="1"/>
    <col min="12550" max="12552" width="12" style="24" customWidth="1"/>
    <col min="12553" max="12553" width="12.5703125" style="24" customWidth="1"/>
    <col min="12554" max="12800" width="9.140625" style="24"/>
    <col min="12801" max="12801" width="15.140625" style="24" customWidth="1"/>
    <col min="12802" max="12802" width="72.85546875" style="24" customWidth="1"/>
    <col min="12803" max="12803" width="10.5703125" style="24" customWidth="1"/>
    <col min="12804" max="12804" width="13.5703125" style="24" customWidth="1"/>
    <col min="12805" max="12805" width="12.85546875" style="24" bestFit="1" customWidth="1"/>
    <col min="12806" max="12808" width="12" style="24" customWidth="1"/>
    <col min="12809" max="12809" width="12.5703125" style="24" customWidth="1"/>
    <col min="12810" max="13056" width="9.140625" style="24"/>
    <col min="13057" max="13057" width="15.140625" style="24" customWidth="1"/>
    <col min="13058" max="13058" width="72.85546875" style="24" customWidth="1"/>
    <col min="13059" max="13059" width="10.5703125" style="24" customWidth="1"/>
    <col min="13060" max="13060" width="13.5703125" style="24" customWidth="1"/>
    <col min="13061" max="13061" width="12.85546875" style="24" bestFit="1" customWidth="1"/>
    <col min="13062" max="13064" width="12" style="24" customWidth="1"/>
    <col min="13065" max="13065" width="12.5703125" style="24" customWidth="1"/>
    <col min="13066" max="13312" width="9.140625" style="24"/>
    <col min="13313" max="13313" width="15.140625" style="24" customWidth="1"/>
    <col min="13314" max="13314" width="72.85546875" style="24" customWidth="1"/>
    <col min="13315" max="13315" width="10.5703125" style="24" customWidth="1"/>
    <col min="13316" max="13316" width="13.5703125" style="24" customWidth="1"/>
    <col min="13317" max="13317" width="12.85546875" style="24" bestFit="1" customWidth="1"/>
    <col min="13318" max="13320" width="12" style="24" customWidth="1"/>
    <col min="13321" max="13321" width="12.5703125" style="24" customWidth="1"/>
    <col min="13322" max="13568" width="9.140625" style="24"/>
    <col min="13569" max="13569" width="15.140625" style="24" customWidth="1"/>
    <col min="13570" max="13570" width="72.85546875" style="24" customWidth="1"/>
    <col min="13571" max="13571" width="10.5703125" style="24" customWidth="1"/>
    <col min="13572" max="13572" width="13.5703125" style="24" customWidth="1"/>
    <col min="13573" max="13573" width="12.85546875" style="24" bestFit="1" customWidth="1"/>
    <col min="13574" max="13576" width="12" style="24" customWidth="1"/>
    <col min="13577" max="13577" width="12.5703125" style="24" customWidth="1"/>
    <col min="13578" max="13824" width="9.140625" style="24"/>
    <col min="13825" max="13825" width="15.140625" style="24" customWidth="1"/>
    <col min="13826" max="13826" width="72.85546875" style="24" customWidth="1"/>
    <col min="13827" max="13827" width="10.5703125" style="24" customWidth="1"/>
    <col min="13828" max="13828" width="13.5703125" style="24" customWidth="1"/>
    <col min="13829" max="13829" width="12.85546875" style="24" bestFit="1" customWidth="1"/>
    <col min="13830" max="13832" width="12" style="24" customWidth="1"/>
    <col min="13833" max="13833" width="12.5703125" style="24" customWidth="1"/>
    <col min="13834" max="14080" width="9.140625" style="24"/>
    <col min="14081" max="14081" width="15.140625" style="24" customWidth="1"/>
    <col min="14082" max="14082" width="72.85546875" style="24" customWidth="1"/>
    <col min="14083" max="14083" width="10.5703125" style="24" customWidth="1"/>
    <col min="14084" max="14084" width="13.5703125" style="24" customWidth="1"/>
    <col min="14085" max="14085" width="12.85546875" style="24" bestFit="1" customWidth="1"/>
    <col min="14086" max="14088" width="12" style="24" customWidth="1"/>
    <col min="14089" max="14089" width="12.5703125" style="24" customWidth="1"/>
    <col min="14090" max="14336" width="9.140625" style="24"/>
    <col min="14337" max="14337" width="15.140625" style="24" customWidth="1"/>
    <col min="14338" max="14338" width="72.85546875" style="24" customWidth="1"/>
    <col min="14339" max="14339" width="10.5703125" style="24" customWidth="1"/>
    <col min="14340" max="14340" width="13.5703125" style="24" customWidth="1"/>
    <col min="14341" max="14341" width="12.85546875" style="24" bestFit="1" customWidth="1"/>
    <col min="14342" max="14344" width="12" style="24" customWidth="1"/>
    <col min="14345" max="14345" width="12.5703125" style="24" customWidth="1"/>
    <col min="14346" max="14592" width="9.140625" style="24"/>
    <col min="14593" max="14593" width="15.140625" style="24" customWidth="1"/>
    <col min="14594" max="14594" width="72.85546875" style="24" customWidth="1"/>
    <col min="14595" max="14595" width="10.5703125" style="24" customWidth="1"/>
    <col min="14596" max="14596" width="13.5703125" style="24" customWidth="1"/>
    <col min="14597" max="14597" width="12.85546875" style="24" bestFit="1" customWidth="1"/>
    <col min="14598" max="14600" width="12" style="24" customWidth="1"/>
    <col min="14601" max="14601" width="12.5703125" style="24" customWidth="1"/>
    <col min="14602" max="14848" width="9.140625" style="24"/>
    <col min="14849" max="14849" width="15.140625" style="24" customWidth="1"/>
    <col min="14850" max="14850" width="72.85546875" style="24" customWidth="1"/>
    <col min="14851" max="14851" width="10.5703125" style="24" customWidth="1"/>
    <col min="14852" max="14852" width="13.5703125" style="24" customWidth="1"/>
    <col min="14853" max="14853" width="12.85546875" style="24" bestFit="1" customWidth="1"/>
    <col min="14854" max="14856" width="12" style="24" customWidth="1"/>
    <col min="14857" max="14857" width="12.5703125" style="24" customWidth="1"/>
    <col min="14858" max="15104" width="9.140625" style="24"/>
    <col min="15105" max="15105" width="15.140625" style="24" customWidth="1"/>
    <col min="15106" max="15106" width="72.85546875" style="24" customWidth="1"/>
    <col min="15107" max="15107" width="10.5703125" style="24" customWidth="1"/>
    <col min="15108" max="15108" width="13.5703125" style="24" customWidth="1"/>
    <col min="15109" max="15109" width="12.85546875" style="24" bestFit="1" customWidth="1"/>
    <col min="15110" max="15112" width="12" style="24" customWidth="1"/>
    <col min="15113" max="15113" width="12.5703125" style="24" customWidth="1"/>
    <col min="15114" max="15360" width="9.140625" style="24"/>
    <col min="15361" max="15361" width="15.140625" style="24" customWidth="1"/>
    <col min="15362" max="15362" width="72.85546875" style="24" customWidth="1"/>
    <col min="15363" max="15363" width="10.5703125" style="24" customWidth="1"/>
    <col min="15364" max="15364" width="13.5703125" style="24" customWidth="1"/>
    <col min="15365" max="15365" width="12.85546875" style="24" bestFit="1" customWidth="1"/>
    <col min="15366" max="15368" width="12" style="24" customWidth="1"/>
    <col min="15369" max="15369" width="12.5703125" style="24" customWidth="1"/>
    <col min="15370" max="15616" width="9.140625" style="24"/>
    <col min="15617" max="15617" width="15.140625" style="24" customWidth="1"/>
    <col min="15618" max="15618" width="72.85546875" style="24" customWidth="1"/>
    <col min="15619" max="15619" width="10.5703125" style="24" customWidth="1"/>
    <col min="15620" max="15620" width="13.5703125" style="24" customWidth="1"/>
    <col min="15621" max="15621" width="12.85546875" style="24" bestFit="1" customWidth="1"/>
    <col min="15622" max="15624" width="12" style="24" customWidth="1"/>
    <col min="15625" max="15625" width="12.5703125" style="24" customWidth="1"/>
    <col min="15626" max="15872" width="9.140625" style="24"/>
    <col min="15873" max="15873" width="15.140625" style="24" customWidth="1"/>
    <col min="15874" max="15874" width="72.85546875" style="24" customWidth="1"/>
    <col min="15875" max="15875" width="10.5703125" style="24" customWidth="1"/>
    <col min="15876" max="15876" width="13.5703125" style="24" customWidth="1"/>
    <col min="15877" max="15877" width="12.85546875" style="24" bestFit="1" customWidth="1"/>
    <col min="15878" max="15880" width="12" style="24" customWidth="1"/>
    <col min="15881" max="15881" width="12.5703125" style="24" customWidth="1"/>
    <col min="15882" max="16128" width="9.140625" style="24"/>
    <col min="16129" max="16129" width="15.140625" style="24" customWidth="1"/>
    <col min="16130" max="16130" width="72.85546875" style="24" customWidth="1"/>
    <col min="16131" max="16131" width="10.5703125" style="24" customWidth="1"/>
    <col min="16132" max="16132" width="13.5703125" style="24" customWidth="1"/>
    <col min="16133" max="16133" width="12.85546875" style="24" bestFit="1" customWidth="1"/>
    <col min="16134" max="16136" width="12" style="24" customWidth="1"/>
    <col min="16137" max="16137" width="12.5703125" style="24" customWidth="1"/>
    <col min="16138" max="16384" width="9.140625" style="24"/>
  </cols>
  <sheetData>
    <row r="1" spans="1:12" s="20" customFormat="1" ht="4.5" customHeight="1">
      <c r="A1" s="14"/>
      <c r="B1" s="15"/>
      <c r="C1" s="15"/>
      <c r="D1" s="16"/>
      <c r="E1" s="17"/>
      <c r="F1" s="18"/>
      <c r="G1" s="17"/>
      <c r="H1" s="17"/>
      <c r="I1" s="19"/>
    </row>
    <row r="2" spans="1:12" s="20" customFormat="1" ht="4.5" customHeight="1">
      <c r="A2" s="14"/>
      <c r="B2" s="15"/>
      <c r="C2" s="15"/>
      <c r="D2" s="16"/>
      <c r="E2" s="16"/>
      <c r="F2" s="21"/>
      <c r="G2" s="16"/>
      <c r="H2" s="16"/>
      <c r="I2" s="22"/>
    </row>
    <row r="3" spans="1:12" s="20" customFormat="1" ht="61.5" customHeight="1">
      <c r="A3" s="169" t="s">
        <v>401</v>
      </c>
      <c r="B3" s="170"/>
      <c r="C3" s="170"/>
      <c r="D3" s="170"/>
      <c r="E3" s="170"/>
      <c r="F3" s="170"/>
      <c r="G3" s="170"/>
      <c r="H3" s="170"/>
      <c r="I3" s="171"/>
      <c r="J3" s="280" t="s">
        <v>1168</v>
      </c>
      <c r="K3" s="281"/>
      <c r="L3" s="281"/>
    </row>
    <row r="4" spans="1:12" s="20" customFormat="1" ht="4.5" customHeight="1">
      <c r="A4" s="172"/>
      <c r="B4" s="173"/>
      <c r="C4" s="173"/>
      <c r="D4" s="174"/>
      <c r="E4" s="174"/>
      <c r="F4" s="175"/>
      <c r="G4" s="174"/>
      <c r="H4" s="174"/>
      <c r="I4" s="176"/>
      <c r="J4" s="280"/>
      <c r="K4" s="281"/>
      <c r="L4" s="281"/>
    </row>
    <row r="5" spans="1:12" s="23" customFormat="1">
      <c r="A5" s="177" t="s">
        <v>139</v>
      </c>
      <c r="B5" s="178" t="s">
        <v>146</v>
      </c>
      <c r="C5" s="179" t="s">
        <v>138</v>
      </c>
      <c r="D5" s="180" t="s">
        <v>403</v>
      </c>
      <c r="E5" s="181" t="s">
        <v>404</v>
      </c>
      <c r="F5" s="181" t="s">
        <v>405</v>
      </c>
      <c r="G5" s="181" t="s">
        <v>406</v>
      </c>
      <c r="H5" s="181" t="s">
        <v>407</v>
      </c>
      <c r="I5" s="181" t="s">
        <v>408</v>
      </c>
      <c r="J5" s="280"/>
      <c r="K5" s="281"/>
      <c r="L5" s="281"/>
    </row>
    <row r="6" spans="1:12">
      <c r="A6" s="182" t="s">
        <v>1</v>
      </c>
      <c r="B6" s="183" t="s">
        <v>409</v>
      </c>
      <c r="C6" s="184"/>
      <c r="D6" s="185"/>
      <c r="E6" s="186"/>
      <c r="F6" s="186"/>
      <c r="G6" s="186"/>
      <c r="H6" s="186"/>
      <c r="I6" s="187"/>
      <c r="J6" s="280" t="s">
        <v>1168</v>
      </c>
      <c r="K6" s="281"/>
      <c r="L6" s="281"/>
    </row>
    <row r="7" spans="1:12" outlineLevel="1">
      <c r="A7" s="188" t="s">
        <v>1</v>
      </c>
      <c r="B7" s="189" t="s">
        <v>678</v>
      </c>
      <c r="C7" s="190"/>
      <c r="D7" s="191"/>
      <c r="E7" s="192"/>
      <c r="F7" s="192"/>
      <c r="G7" s="192"/>
      <c r="H7" s="192"/>
      <c r="I7" s="193"/>
      <c r="J7" s="280"/>
      <c r="K7" s="281"/>
      <c r="L7" s="281"/>
    </row>
    <row r="8" spans="1:12" outlineLevel="1">
      <c r="A8" s="194" t="s">
        <v>44</v>
      </c>
      <c r="B8" s="195" t="s">
        <v>865</v>
      </c>
      <c r="C8" s="196" t="s">
        <v>7</v>
      </c>
      <c r="D8" s="197"/>
      <c r="E8" s="198"/>
      <c r="F8" s="198"/>
      <c r="G8" s="198"/>
      <c r="H8" s="198"/>
      <c r="I8" s="199">
        <f>SUM(I9:I10)</f>
        <v>1</v>
      </c>
      <c r="J8" s="280"/>
      <c r="K8" s="281"/>
      <c r="L8" s="281"/>
    </row>
    <row r="9" spans="1:12" outlineLevel="1">
      <c r="A9" s="200"/>
      <c r="B9" s="201" t="s">
        <v>864</v>
      </c>
      <c r="C9" s="202"/>
      <c r="D9" s="203">
        <v>1</v>
      </c>
      <c r="E9" s="204"/>
      <c r="F9" s="204"/>
      <c r="G9" s="204"/>
      <c r="H9" s="204"/>
      <c r="I9" s="204">
        <f>D9</f>
        <v>1</v>
      </c>
      <c r="J9" s="280" t="s">
        <v>1168</v>
      </c>
      <c r="K9" s="281"/>
      <c r="L9" s="281"/>
    </row>
    <row r="10" spans="1:12" outlineLevel="1">
      <c r="A10" s="205"/>
      <c r="B10" s="206"/>
      <c r="C10" s="207"/>
      <c r="D10" s="208"/>
      <c r="E10" s="209"/>
      <c r="F10" s="209"/>
      <c r="G10" s="209"/>
      <c r="H10" s="209"/>
      <c r="I10" s="209"/>
      <c r="J10" s="280"/>
      <c r="K10" s="281"/>
      <c r="L10" s="281"/>
    </row>
    <row r="11" spans="1:12" outlineLevel="1">
      <c r="A11" s="194" t="s">
        <v>43</v>
      </c>
      <c r="B11" s="195" t="s">
        <v>590</v>
      </c>
      <c r="C11" s="196" t="s">
        <v>7</v>
      </c>
      <c r="D11" s="197"/>
      <c r="E11" s="198"/>
      <c r="F11" s="198"/>
      <c r="G11" s="198"/>
      <c r="H11" s="198"/>
      <c r="I11" s="199">
        <f>SUM(I12:I13)</f>
        <v>1</v>
      </c>
      <c r="J11" s="280"/>
      <c r="K11" s="281"/>
      <c r="L11" s="281"/>
    </row>
    <row r="12" spans="1:12" outlineLevel="1">
      <c r="A12" s="200"/>
      <c r="B12" s="201" t="s">
        <v>863</v>
      </c>
      <c r="C12" s="202"/>
      <c r="D12" s="203">
        <v>1</v>
      </c>
      <c r="E12" s="204"/>
      <c r="F12" s="204"/>
      <c r="G12" s="204"/>
      <c r="H12" s="204"/>
      <c r="I12" s="204">
        <f>D12</f>
        <v>1</v>
      </c>
      <c r="J12" s="280" t="s">
        <v>1168</v>
      </c>
      <c r="K12" s="281"/>
      <c r="L12" s="281"/>
    </row>
    <row r="13" spans="1:12" outlineLevel="1">
      <c r="A13" s="205"/>
      <c r="B13" s="206"/>
      <c r="C13" s="207"/>
      <c r="D13" s="208"/>
      <c r="E13" s="209"/>
      <c r="F13" s="209"/>
      <c r="G13" s="209"/>
      <c r="H13" s="209"/>
      <c r="I13" s="209"/>
      <c r="J13" s="280"/>
      <c r="K13" s="281"/>
      <c r="L13" s="281"/>
    </row>
    <row r="14" spans="1:12" outlineLevel="1">
      <c r="A14" s="194" t="s">
        <v>42</v>
      </c>
      <c r="B14" s="195" t="s">
        <v>848</v>
      </c>
      <c r="C14" s="196" t="s">
        <v>7</v>
      </c>
      <c r="D14" s="197"/>
      <c r="E14" s="198"/>
      <c r="F14" s="198"/>
      <c r="G14" s="198"/>
      <c r="H14" s="198"/>
      <c r="I14" s="199">
        <f>SUM(I15:I16)</f>
        <v>1</v>
      </c>
      <c r="J14" s="280"/>
      <c r="K14" s="281"/>
      <c r="L14" s="281"/>
    </row>
    <row r="15" spans="1:12" outlineLevel="1">
      <c r="A15" s="200"/>
      <c r="B15" s="201" t="s">
        <v>864</v>
      </c>
      <c r="C15" s="202"/>
      <c r="D15" s="203">
        <v>1</v>
      </c>
      <c r="E15" s="204"/>
      <c r="F15" s="204"/>
      <c r="G15" s="204"/>
      <c r="H15" s="204"/>
      <c r="I15" s="204">
        <f>D15</f>
        <v>1</v>
      </c>
      <c r="J15" s="280" t="s">
        <v>1168</v>
      </c>
      <c r="K15" s="281"/>
      <c r="L15" s="281"/>
    </row>
    <row r="16" spans="1:12" outlineLevel="1">
      <c r="A16" s="205"/>
      <c r="B16" s="206"/>
      <c r="C16" s="207"/>
      <c r="D16" s="208"/>
      <c r="E16" s="209"/>
      <c r="F16" s="209"/>
      <c r="G16" s="209"/>
      <c r="H16" s="209"/>
      <c r="I16" s="209"/>
      <c r="J16" s="280"/>
      <c r="K16" s="281"/>
      <c r="L16" s="281"/>
    </row>
    <row r="17" spans="1:12" outlineLevel="1">
      <c r="A17" s="194" t="s">
        <v>41</v>
      </c>
      <c r="B17" s="195" t="s">
        <v>410</v>
      </c>
      <c r="C17" s="196" t="s">
        <v>7</v>
      </c>
      <c r="D17" s="197"/>
      <c r="E17" s="198"/>
      <c r="F17" s="198"/>
      <c r="G17" s="198"/>
      <c r="H17" s="198"/>
      <c r="I17" s="199">
        <f>SUM(I18:I19)</f>
        <v>1</v>
      </c>
      <c r="J17" s="280"/>
      <c r="K17" s="281"/>
      <c r="L17" s="281"/>
    </row>
    <row r="18" spans="1:12" outlineLevel="1">
      <c r="A18" s="200"/>
      <c r="B18" s="201" t="s">
        <v>862</v>
      </c>
      <c r="C18" s="202"/>
      <c r="D18" s="203">
        <v>1</v>
      </c>
      <c r="E18" s="204"/>
      <c r="F18" s="204"/>
      <c r="G18" s="204"/>
      <c r="H18" s="204"/>
      <c r="I18" s="204">
        <f>D18</f>
        <v>1</v>
      </c>
      <c r="J18" s="280" t="s">
        <v>1168</v>
      </c>
      <c r="K18" s="281"/>
      <c r="L18" s="281"/>
    </row>
    <row r="19" spans="1:12" outlineLevel="1">
      <c r="A19" s="205"/>
      <c r="B19" s="206"/>
      <c r="C19" s="207"/>
      <c r="D19" s="208"/>
      <c r="E19" s="209"/>
      <c r="F19" s="209"/>
      <c r="G19" s="209"/>
      <c r="H19" s="209"/>
      <c r="I19" s="209"/>
      <c r="J19" s="280"/>
      <c r="K19" s="281"/>
      <c r="L19" s="281"/>
    </row>
    <row r="20" spans="1:12" outlineLevel="1">
      <c r="A20" s="188" t="s">
        <v>2</v>
      </c>
      <c r="B20" s="189" t="s">
        <v>866</v>
      </c>
      <c r="C20" s="190"/>
      <c r="D20" s="191"/>
      <c r="E20" s="192"/>
      <c r="F20" s="192"/>
      <c r="G20" s="192"/>
      <c r="H20" s="192"/>
      <c r="I20" s="193"/>
      <c r="J20" s="280"/>
      <c r="K20" s="281"/>
      <c r="L20" s="281"/>
    </row>
    <row r="21" spans="1:12" s="26" customFormat="1" ht="31.5" outlineLevel="1">
      <c r="A21" s="210" t="s">
        <v>31</v>
      </c>
      <c r="B21" s="211" t="s">
        <v>415</v>
      </c>
      <c r="C21" s="212" t="s">
        <v>4</v>
      </c>
      <c r="D21" s="213"/>
      <c r="E21" s="214"/>
      <c r="F21" s="214"/>
      <c r="G21" s="214"/>
      <c r="H21" s="214"/>
      <c r="I21" s="215">
        <f>SUM(I22:I23)</f>
        <v>6</v>
      </c>
      <c r="J21" s="280" t="s">
        <v>1168</v>
      </c>
      <c r="K21" s="281"/>
      <c r="L21" s="281"/>
    </row>
    <row r="22" spans="1:12" s="26" customFormat="1" outlineLevel="1">
      <c r="A22" s="216"/>
      <c r="B22" s="217" t="s">
        <v>416</v>
      </c>
      <c r="C22" s="218"/>
      <c r="D22" s="219"/>
      <c r="E22" s="220"/>
      <c r="F22" s="220">
        <v>3</v>
      </c>
      <c r="G22" s="220"/>
      <c r="H22" s="220">
        <v>2</v>
      </c>
      <c r="I22" s="220">
        <f>F22*H22</f>
        <v>6</v>
      </c>
      <c r="J22" s="280"/>
      <c r="K22" s="281"/>
      <c r="L22" s="281"/>
    </row>
    <row r="23" spans="1:12" s="26" customFormat="1" outlineLevel="1">
      <c r="A23" s="221"/>
      <c r="B23" s="222"/>
      <c r="C23" s="223"/>
      <c r="D23" s="224"/>
      <c r="E23" s="225"/>
      <c r="F23" s="225"/>
      <c r="G23" s="225"/>
      <c r="H23" s="225"/>
      <c r="I23" s="225"/>
      <c r="J23" s="280"/>
      <c r="K23" s="281"/>
      <c r="L23" s="281"/>
    </row>
    <row r="24" spans="1:12" outlineLevel="1">
      <c r="A24" s="188" t="s">
        <v>3</v>
      </c>
      <c r="B24" s="189" t="s">
        <v>867</v>
      </c>
      <c r="C24" s="190"/>
      <c r="D24" s="191"/>
      <c r="E24" s="192"/>
      <c r="F24" s="192"/>
      <c r="G24" s="192"/>
      <c r="H24" s="192"/>
      <c r="I24" s="193"/>
      <c r="J24" s="280" t="s">
        <v>1168</v>
      </c>
      <c r="K24" s="281"/>
      <c r="L24" s="281"/>
    </row>
    <row r="25" spans="1:12" outlineLevel="1">
      <c r="A25" s="194" t="s">
        <v>46</v>
      </c>
      <c r="B25" s="195" t="s">
        <v>102</v>
      </c>
      <c r="C25" s="196" t="s">
        <v>13</v>
      </c>
      <c r="D25" s="197"/>
      <c r="E25" s="198"/>
      <c r="F25" s="198"/>
      <c r="G25" s="198"/>
      <c r="H25" s="198"/>
      <c r="I25" s="199">
        <f>SUM(I26:I27)</f>
        <v>3</v>
      </c>
      <c r="J25" s="280"/>
      <c r="K25" s="281"/>
      <c r="L25" s="281"/>
    </row>
    <row r="26" spans="1:12" outlineLevel="1">
      <c r="A26" s="200"/>
      <c r="B26" s="201" t="s">
        <v>864</v>
      </c>
      <c r="C26" s="202"/>
      <c r="D26" s="203">
        <v>3</v>
      </c>
      <c r="E26" s="204"/>
      <c r="F26" s="204"/>
      <c r="G26" s="204"/>
      <c r="H26" s="204"/>
      <c r="I26" s="204">
        <f>D26</f>
        <v>3</v>
      </c>
      <c r="J26" s="280"/>
      <c r="K26" s="281"/>
      <c r="L26" s="281"/>
    </row>
    <row r="27" spans="1:12" outlineLevel="1">
      <c r="A27" s="205"/>
      <c r="B27" s="206"/>
      <c r="C27" s="207"/>
      <c r="D27" s="208"/>
      <c r="E27" s="209"/>
      <c r="F27" s="209"/>
      <c r="G27" s="209"/>
      <c r="H27" s="209"/>
      <c r="I27" s="209"/>
      <c r="J27" s="280" t="s">
        <v>1168</v>
      </c>
      <c r="K27" s="281"/>
      <c r="L27" s="281"/>
    </row>
    <row r="28" spans="1:12" outlineLevel="1">
      <c r="A28" s="188" t="s">
        <v>19</v>
      </c>
      <c r="B28" s="189" t="s">
        <v>868</v>
      </c>
      <c r="C28" s="190"/>
      <c r="D28" s="191"/>
      <c r="E28" s="192"/>
      <c r="F28" s="192"/>
      <c r="G28" s="192"/>
      <c r="H28" s="192"/>
      <c r="I28" s="193"/>
      <c r="J28" s="280"/>
      <c r="K28" s="281"/>
      <c r="L28" s="281"/>
    </row>
    <row r="29" spans="1:12" outlineLevel="1">
      <c r="A29" s="194" t="s">
        <v>153</v>
      </c>
      <c r="B29" s="195" t="s">
        <v>101</v>
      </c>
      <c r="C29" s="196" t="s">
        <v>7</v>
      </c>
      <c r="D29" s="197"/>
      <c r="E29" s="198"/>
      <c r="F29" s="198"/>
      <c r="G29" s="198"/>
      <c r="H29" s="198"/>
      <c r="I29" s="199">
        <f>SUM(I30:I31)</f>
        <v>1</v>
      </c>
      <c r="J29" s="280"/>
      <c r="K29" s="281"/>
      <c r="L29" s="281"/>
    </row>
    <row r="30" spans="1:12" outlineLevel="1">
      <c r="A30" s="200"/>
      <c r="B30" s="201" t="s">
        <v>864</v>
      </c>
      <c r="C30" s="202"/>
      <c r="D30" s="203">
        <v>1</v>
      </c>
      <c r="E30" s="204"/>
      <c r="F30" s="204"/>
      <c r="G30" s="204"/>
      <c r="H30" s="204"/>
      <c r="I30" s="204">
        <f>D30</f>
        <v>1</v>
      </c>
      <c r="J30" s="280" t="s">
        <v>1168</v>
      </c>
      <c r="K30" s="281"/>
      <c r="L30" s="281"/>
    </row>
    <row r="31" spans="1:12" outlineLevel="1">
      <c r="A31" s="205"/>
      <c r="B31" s="206"/>
      <c r="C31" s="207"/>
      <c r="D31" s="208"/>
      <c r="E31" s="209"/>
      <c r="F31" s="209"/>
      <c r="G31" s="209"/>
      <c r="H31" s="209"/>
      <c r="I31" s="209"/>
      <c r="J31" s="280"/>
      <c r="K31" s="281"/>
      <c r="L31" s="281"/>
    </row>
    <row r="32" spans="1:12" outlineLevel="1">
      <c r="A32" s="188" t="s">
        <v>23</v>
      </c>
      <c r="B32" s="189" t="s">
        <v>547</v>
      </c>
      <c r="C32" s="190"/>
      <c r="D32" s="191"/>
      <c r="E32" s="192"/>
      <c r="F32" s="192"/>
      <c r="G32" s="192"/>
      <c r="H32" s="192"/>
      <c r="I32" s="193"/>
      <c r="J32" s="280"/>
      <c r="K32" s="281"/>
      <c r="L32" s="281"/>
    </row>
    <row r="33" spans="1:12" s="25" customFormat="1" ht="63" outlineLevel="1">
      <c r="A33" s="194" t="s">
        <v>33</v>
      </c>
      <c r="B33" s="195" t="s">
        <v>869</v>
      </c>
      <c r="C33" s="196" t="s">
        <v>13</v>
      </c>
      <c r="D33" s="197"/>
      <c r="E33" s="198"/>
      <c r="F33" s="198"/>
      <c r="G33" s="198"/>
      <c r="H33" s="198"/>
      <c r="I33" s="199">
        <f>SUM(I34:I34)</f>
        <v>3</v>
      </c>
      <c r="J33" s="280" t="s">
        <v>1168</v>
      </c>
      <c r="K33" s="281"/>
      <c r="L33" s="281"/>
    </row>
    <row r="34" spans="1:12" s="25" customFormat="1" outlineLevel="1">
      <c r="A34" s="200"/>
      <c r="B34" s="201" t="s">
        <v>870</v>
      </c>
      <c r="C34" s="202"/>
      <c r="D34" s="203">
        <v>3</v>
      </c>
      <c r="E34" s="204"/>
      <c r="F34" s="204"/>
      <c r="G34" s="204"/>
      <c r="H34" s="204"/>
      <c r="I34" s="204">
        <f>D34</f>
        <v>3</v>
      </c>
      <c r="J34" s="280"/>
      <c r="K34" s="281"/>
      <c r="L34" s="281"/>
    </row>
    <row r="35" spans="1:12" s="25" customFormat="1" outlineLevel="1">
      <c r="A35" s="205"/>
      <c r="B35" s="206"/>
      <c r="C35" s="207"/>
      <c r="D35" s="208"/>
      <c r="E35" s="209"/>
      <c r="F35" s="209"/>
      <c r="G35" s="209"/>
      <c r="H35" s="209"/>
      <c r="I35" s="209"/>
      <c r="J35" s="280"/>
      <c r="K35" s="281"/>
      <c r="L35" s="281"/>
    </row>
    <row r="36" spans="1:12" s="25" customFormat="1" ht="31.5" outlineLevel="1">
      <c r="A36" s="194" t="s">
        <v>683</v>
      </c>
      <c r="B36" s="195" t="s">
        <v>871</v>
      </c>
      <c r="C36" s="196" t="s">
        <v>7</v>
      </c>
      <c r="D36" s="226"/>
      <c r="E36" s="198"/>
      <c r="F36" s="198"/>
      <c r="G36" s="198"/>
      <c r="H36" s="198"/>
      <c r="I36" s="199">
        <v>1</v>
      </c>
      <c r="J36" s="280" t="s">
        <v>1168</v>
      </c>
      <c r="K36" s="281"/>
      <c r="L36" s="281"/>
    </row>
    <row r="37" spans="1:12" s="25" customFormat="1" outlineLevel="1">
      <c r="A37" s="200"/>
      <c r="B37" s="201" t="s">
        <v>870</v>
      </c>
      <c r="C37" s="202"/>
      <c r="D37" s="203">
        <v>1</v>
      </c>
      <c r="E37" s="204"/>
      <c r="F37" s="204"/>
      <c r="G37" s="204"/>
      <c r="H37" s="204"/>
      <c r="I37" s="204">
        <f>D37</f>
        <v>1</v>
      </c>
      <c r="J37" s="280"/>
      <c r="K37" s="281"/>
      <c r="L37" s="281"/>
    </row>
    <row r="38" spans="1:12" s="25" customFormat="1" outlineLevel="1">
      <c r="A38" s="205"/>
      <c r="B38" s="206"/>
      <c r="C38" s="207"/>
      <c r="D38" s="208"/>
      <c r="E38" s="209"/>
      <c r="F38" s="209"/>
      <c r="G38" s="209"/>
      <c r="H38" s="209"/>
      <c r="I38" s="209"/>
      <c r="J38" s="280"/>
      <c r="K38" s="281"/>
      <c r="L38" s="281"/>
    </row>
    <row r="39" spans="1:12">
      <c r="A39" s="227" t="s">
        <v>2</v>
      </c>
      <c r="B39" s="228" t="s">
        <v>675</v>
      </c>
      <c r="C39" s="229"/>
      <c r="D39" s="230"/>
      <c r="E39" s="231"/>
      <c r="F39" s="231"/>
      <c r="G39" s="231"/>
      <c r="H39" s="231"/>
      <c r="I39" s="232"/>
      <c r="J39" s="280" t="s">
        <v>1168</v>
      </c>
      <c r="K39" s="281"/>
      <c r="L39" s="281"/>
    </row>
    <row r="40" spans="1:12" outlineLevel="1">
      <c r="A40" s="188" t="s">
        <v>31</v>
      </c>
      <c r="B40" s="189" t="s">
        <v>676</v>
      </c>
      <c r="C40" s="190"/>
      <c r="D40" s="191"/>
      <c r="E40" s="192"/>
      <c r="F40" s="192"/>
      <c r="G40" s="192"/>
      <c r="H40" s="192"/>
      <c r="I40" s="193"/>
      <c r="J40" s="280"/>
      <c r="K40" s="281"/>
      <c r="L40" s="281"/>
    </row>
    <row r="41" spans="1:12" s="25" customFormat="1" ht="31.5" outlineLevel="1">
      <c r="A41" s="210" t="s">
        <v>82</v>
      </c>
      <c r="B41" s="211" t="s">
        <v>224</v>
      </c>
      <c r="C41" s="212" t="s">
        <v>4</v>
      </c>
      <c r="D41" s="213"/>
      <c r="E41" s="214"/>
      <c r="F41" s="214"/>
      <c r="G41" s="214"/>
      <c r="H41" s="214"/>
      <c r="I41" s="215">
        <f>SUM(I42:I46)</f>
        <v>28.534000000000002</v>
      </c>
      <c r="J41" s="280"/>
      <c r="K41" s="281"/>
      <c r="L41" s="281"/>
    </row>
    <row r="42" spans="1:12" s="25" customFormat="1" outlineLevel="1">
      <c r="A42" s="216"/>
      <c r="B42" s="217" t="s">
        <v>411</v>
      </c>
      <c r="C42" s="218"/>
      <c r="D42" s="219"/>
      <c r="E42" s="220"/>
      <c r="F42" s="220">
        <v>2.6</v>
      </c>
      <c r="G42" s="220"/>
      <c r="H42" s="220">
        <v>2.2000000000000002</v>
      </c>
      <c r="I42" s="220">
        <f>F42*H42</f>
        <v>5.7200000000000006</v>
      </c>
      <c r="J42" s="280" t="s">
        <v>1168</v>
      </c>
      <c r="K42" s="281"/>
      <c r="L42" s="281"/>
    </row>
    <row r="43" spans="1:12" s="25" customFormat="1" outlineLevel="1">
      <c r="A43" s="216"/>
      <c r="B43" s="217" t="s">
        <v>412</v>
      </c>
      <c r="C43" s="218"/>
      <c r="D43" s="219"/>
      <c r="E43" s="220"/>
      <c r="F43" s="220">
        <v>4.37</v>
      </c>
      <c r="G43" s="220"/>
      <c r="H43" s="220">
        <v>2.2000000000000002</v>
      </c>
      <c r="I43" s="220">
        <f>F43*H43</f>
        <v>9.6140000000000008</v>
      </c>
      <c r="J43" s="280"/>
      <c r="K43" s="281"/>
      <c r="L43" s="281"/>
    </row>
    <row r="44" spans="1:12" s="25" customFormat="1" outlineLevel="1">
      <c r="A44" s="216"/>
      <c r="B44" s="217" t="s">
        <v>413</v>
      </c>
      <c r="C44" s="218"/>
      <c r="D44" s="219"/>
      <c r="E44" s="220"/>
      <c r="F44" s="220">
        <v>3</v>
      </c>
      <c r="G44" s="220"/>
      <c r="H44" s="220">
        <v>2.2000000000000002</v>
      </c>
      <c r="I44" s="220">
        <f>F44*H44</f>
        <v>6.6000000000000005</v>
      </c>
      <c r="J44" s="280"/>
      <c r="K44" s="281"/>
      <c r="L44" s="281"/>
    </row>
    <row r="45" spans="1:12" s="25" customFormat="1" outlineLevel="1">
      <c r="A45" s="216"/>
      <c r="B45" s="217" t="s">
        <v>414</v>
      </c>
      <c r="C45" s="218"/>
      <c r="D45" s="219"/>
      <c r="E45" s="220"/>
      <c r="F45" s="220">
        <v>3</v>
      </c>
      <c r="G45" s="220"/>
      <c r="H45" s="220">
        <v>2.2000000000000002</v>
      </c>
      <c r="I45" s="220">
        <f>F45*H45</f>
        <v>6.6000000000000005</v>
      </c>
      <c r="J45" s="280" t="s">
        <v>1168</v>
      </c>
      <c r="K45" s="281"/>
      <c r="L45" s="281"/>
    </row>
    <row r="46" spans="1:12" s="25" customFormat="1" outlineLevel="1">
      <c r="A46" s="221"/>
      <c r="B46" s="222"/>
      <c r="C46" s="223"/>
      <c r="D46" s="224"/>
      <c r="E46" s="225"/>
      <c r="F46" s="225"/>
      <c r="G46" s="225"/>
      <c r="H46" s="225"/>
      <c r="I46" s="225"/>
      <c r="J46" s="280"/>
      <c r="K46" s="281"/>
      <c r="L46" s="281"/>
    </row>
    <row r="47" spans="1:12" outlineLevel="1">
      <c r="A47" s="188" t="s">
        <v>32</v>
      </c>
      <c r="B47" s="189" t="s">
        <v>887</v>
      </c>
      <c r="C47" s="190"/>
      <c r="D47" s="191"/>
      <c r="E47" s="192"/>
      <c r="F47" s="192"/>
      <c r="G47" s="192"/>
      <c r="H47" s="192"/>
      <c r="I47" s="193"/>
      <c r="J47" s="280"/>
      <c r="K47" s="281"/>
      <c r="L47" s="281"/>
    </row>
    <row r="48" spans="1:12" s="25" customFormat="1" ht="47.25" outlineLevel="1">
      <c r="A48" s="210" t="s">
        <v>99</v>
      </c>
      <c r="B48" s="211" t="s">
        <v>92</v>
      </c>
      <c r="C48" s="212" t="s">
        <v>7</v>
      </c>
      <c r="D48" s="213"/>
      <c r="E48" s="214"/>
      <c r="F48" s="214"/>
      <c r="G48" s="214"/>
      <c r="H48" s="214"/>
      <c r="I48" s="215">
        <f>SUM(I49:I50)</f>
        <v>1</v>
      </c>
      <c r="J48" s="280" t="s">
        <v>1168</v>
      </c>
      <c r="K48" s="281"/>
      <c r="L48" s="281"/>
    </row>
    <row r="49" spans="1:12" s="25" customFormat="1" outlineLevel="1">
      <c r="A49" s="216"/>
      <c r="B49" s="217" t="s">
        <v>677</v>
      </c>
      <c r="C49" s="218"/>
      <c r="D49" s="219">
        <v>1</v>
      </c>
      <c r="E49" s="220"/>
      <c r="F49" s="220"/>
      <c r="G49" s="220"/>
      <c r="H49" s="220"/>
      <c r="I49" s="220">
        <f>D49</f>
        <v>1</v>
      </c>
      <c r="J49" s="280"/>
      <c r="K49" s="281"/>
      <c r="L49" s="281"/>
    </row>
    <row r="50" spans="1:12" s="25" customFormat="1" outlineLevel="1">
      <c r="A50" s="221"/>
      <c r="B50" s="222"/>
      <c r="C50" s="223"/>
      <c r="D50" s="224"/>
      <c r="E50" s="225"/>
      <c r="F50" s="225"/>
      <c r="G50" s="225"/>
      <c r="H50" s="225"/>
      <c r="I50" s="225"/>
      <c r="J50" s="280"/>
      <c r="K50" s="281"/>
      <c r="L50" s="281"/>
    </row>
    <row r="51" spans="1:12">
      <c r="A51" s="227" t="s">
        <v>3</v>
      </c>
      <c r="B51" s="228" t="s">
        <v>246</v>
      </c>
      <c r="C51" s="229"/>
      <c r="D51" s="230"/>
      <c r="E51" s="231"/>
      <c r="F51" s="231"/>
      <c r="G51" s="231"/>
      <c r="H51" s="231"/>
      <c r="I51" s="232"/>
      <c r="J51" s="280" t="s">
        <v>1168</v>
      </c>
      <c r="K51" s="281"/>
      <c r="L51" s="281"/>
    </row>
    <row r="52" spans="1:12" outlineLevel="1">
      <c r="A52" s="188" t="s">
        <v>46</v>
      </c>
      <c r="B52" s="189" t="s">
        <v>417</v>
      </c>
      <c r="C52" s="233"/>
      <c r="D52" s="234"/>
      <c r="E52" s="235"/>
      <c r="F52" s="235"/>
      <c r="G52" s="235"/>
      <c r="H52" s="235"/>
      <c r="I52" s="236"/>
      <c r="J52" s="280"/>
      <c r="K52" s="281"/>
      <c r="L52" s="281"/>
    </row>
    <row r="53" spans="1:12" s="26" customFormat="1" ht="356.25" customHeight="1" outlineLevel="1">
      <c r="A53" s="237" t="s">
        <v>250</v>
      </c>
      <c r="B53" s="238" t="s">
        <v>1166</v>
      </c>
      <c r="C53" s="218" t="s">
        <v>7</v>
      </c>
      <c r="D53" s="219">
        <v>1</v>
      </c>
      <c r="E53" s="220"/>
      <c r="F53" s="220"/>
      <c r="G53" s="220"/>
      <c r="H53" s="220"/>
      <c r="I53" s="220">
        <f>D53</f>
        <v>1</v>
      </c>
      <c r="J53" s="280"/>
      <c r="K53" s="281"/>
      <c r="L53" s="281"/>
    </row>
    <row r="54" spans="1:12">
      <c r="A54" s="227" t="s">
        <v>19</v>
      </c>
      <c r="B54" s="228" t="s">
        <v>227</v>
      </c>
      <c r="C54" s="229"/>
      <c r="D54" s="230"/>
      <c r="E54" s="231"/>
      <c r="F54" s="231"/>
      <c r="G54" s="231"/>
      <c r="H54" s="231"/>
      <c r="I54" s="232"/>
      <c r="J54" s="280" t="s">
        <v>1168</v>
      </c>
      <c r="K54" s="281"/>
      <c r="L54" s="281"/>
    </row>
    <row r="55" spans="1:12" outlineLevel="1">
      <c r="A55" s="188" t="s">
        <v>153</v>
      </c>
      <c r="B55" s="189" t="s">
        <v>432</v>
      </c>
      <c r="C55" s="233"/>
      <c r="D55" s="234"/>
      <c r="E55" s="235"/>
      <c r="F55" s="235"/>
      <c r="G55" s="235"/>
      <c r="H55" s="235"/>
      <c r="I55" s="236"/>
      <c r="J55" s="280"/>
      <c r="K55" s="281"/>
      <c r="L55" s="281"/>
    </row>
    <row r="56" spans="1:12" ht="31.5" outlineLevel="1">
      <c r="A56" s="210" t="s">
        <v>213</v>
      </c>
      <c r="B56" s="239" t="s">
        <v>433</v>
      </c>
      <c r="C56" s="212" t="s">
        <v>4</v>
      </c>
      <c r="D56" s="213"/>
      <c r="E56" s="214"/>
      <c r="F56" s="214"/>
      <c r="G56" s="214"/>
      <c r="H56" s="214"/>
      <c r="I56" s="215">
        <f>SUM(I57:I59)</f>
        <v>6.7122000000000002</v>
      </c>
      <c r="J56" s="280"/>
      <c r="K56" s="281"/>
      <c r="L56" s="281"/>
    </row>
    <row r="57" spans="1:12" outlineLevel="1">
      <c r="A57" s="240"/>
      <c r="B57" s="241" t="s">
        <v>413</v>
      </c>
      <c r="C57" s="218"/>
      <c r="D57" s="219"/>
      <c r="E57" s="220"/>
      <c r="F57" s="220"/>
      <c r="G57" s="220"/>
      <c r="H57" s="220"/>
      <c r="I57" s="220"/>
      <c r="J57" s="280" t="s">
        <v>1168</v>
      </c>
      <c r="K57" s="281"/>
      <c r="L57" s="281"/>
    </row>
    <row r="58" spans="1:12" outlineLevel="1">
      <c r="A58" s="240"/>
      <c r="B58" s="242" t="s">
        <v>434</v>
      </c>
      <c r="C58" s="218"/>
      <c r="D58" s="219"/>
      <c r="E58" s="220"/>
      <c r="F58" s="220">
        <v>2.2599999999999998</v>
      </c>
      <c r="G58" s="220"/>
      <c r="H58" s="220">
        <v>2.97</v>
      </c>
      <c r="I58" s="220">
        <f>F58*H58</f>
        <v>6.7122000000000002</v>
      </c>
      <c r="J58" s="280"/>
      <c r="K58" s="281"/>
      <c r="L58" s="281"/>
    </row>
    <row r="59" spans="1:12" outlineLevel="1">
      <c r="A59" s="240"/>
      <c r="B59" s="242"/>
      <c r="C59" s="218"/>
      <c r="D59" s="219"/>
      <c r="E59" s="220"/>
      <c r="F59" s="220"/>
      <c r="G59" s="220"/>
      <c r="H59" s="220"/>
      <c r="I59" s="220"/>
      <c r="J59" s="280"/>
      <c r="K59" s="281"/>
      <c r="L59" s="281"/>
    </row>
    <row r="60" spans="1:12" ht="31.5" outlineLevel="1">
      <c r="A60" s="210" t="s">
        <v>214</v>
      </c>
      <c r="B60" s="239" t="s">
        <v>435</v>
      </c>
      <c r="C60" s="212" t="s">
        <v>4</v>
      </c>
      <c r="D60" s="213"/>
      <c r="E60" s="214"/>
      <c r="F60" s="214"/>
      <c r="G60" s="214"/>
      <c r="H60" s="214"/>
      <c r="I60" s="215">
        <f>SUM(I61:I70)</f>
        <v>25.7499</v>
      </c>
      <c r="J60" s="280" t="s">
        <v>1168</v>
      </c>
      <c r="K60" s="281"/>
      <c r="L60" s="281"/>
    </row>
    <row r="61" spans="1:12" outlineLevel="1">
      <c r="A61" s="240"/>
      <c r="B61" s="241" t="s">
        <v>413</v>
      </c>
      <c r="C61" s="218"/>
      <c r="D61" s="219"/>
      <c r="E61" s="220"/>
      <c r="F61" s="220"/>
      <c r="G61" s="220"/>
      <c r="H61" s="220"/>
      <c r="I61" s="220"/>
      <c r="J61" s="280"/>
      <c r="K61" s="281"/>
      <c r="L61" s="281"/>
    </row>
    <row r="62" spans="1:12" outlineLevel="1">
      <c r="A62" s="240"/>
      <c r="B62" s="242" t="s">
        <v>425</v>
      </c>
      <c r="C62" s="218"/>
      <c r="D62" s="219"/>
      <c r="E62" s="220"/>
      <c r="F62" s="220">
        <v>1.71</v>
      </c>
      <c r="G62" s="220"/>
      <c r="H62" s="220">
        <v>2.97</v>
      </c>
      <c r="I62" s="220">
        <f>F62*H62</f>
        <v>5.0787000000000004</v>
      </c>
      <c r="J62" s="280"/>
      <c r="K62" s="281"/>
      <c r="L62" s="281"/>
    </row>
    <row r="63" spans="1:12" outlineLevel="1">
      <c r="A63" s="240"/>
      <c r="B63" s="242" t="s">
        <v>436</v>
      </c>
      <c r="C63" s="218"/>
      <c r="D63" s="219"/>
      <c r="E63" s="220"/>
      <c r="F63" s="220">
        <v>0.9</v>
      </c>
      <c r="G63" s="220"/>
      <c r="H63" s="220">
        <v>2.97</v>
      </c>
      <c r="I63" s="220">
        <f>F63*H63</f>
        <v>2.673</v>
      </c>
      <c r="J63" s="280" t="s">
        <v>1168</v>
      </c>
      <c r="K63" s="281"/>
      <c r="L63" s="281"/>
    </row>
    <row r="64" spans="1:12" outlineLevel="1">
      <c r="A64" s="240"/>
      <c r="B64" s="242" t="s">
        <v>437</v>
      </c>
      <c r="C64" s="218"/>
      <c r="D64" s="219"/>
      <c r="E64" s="220"/>
      <c r="F64" s="220">
        <v>1.76</v>
      </c>
      <c r="G64" s="220"/>
      <c r="H64" s="220">
        <v>2.97</v>
      </c>
      <c r="I64" s="220">
        <f t="shared" ref="I64:I69" si="0">F64*H64</f>
        <v>5.2272000000000007</v>
      </c>
      <c r="J64" s="280"/>
      <c r="K64" s="281"/>
      <c r="L64" s="281"/>
    </row>
    <row r="65" spans="1:12" outlineLevel="1">
      <c r="A65" s="240"/>
      <c r="B65" s="241" t="s">
        <v>438</v>
      </c>
      <c r="C65" s="218"/>
      <c r="D65" s="219"/>
      <c r="E65" s="220"/>
      <c r="F65" s="220"/>
      <c r="G65" s="220"/>
      <c r="H65" s="220"/>
      <c r="I65" s="220"/>
      <c r="J65" s="280"/>
      <c r="K65" s="281"/>
      <c r="L65" s="281"/>
    </row>
    <row r="66" spans="1:12" outlineLevel="1">
      <c r="A66" s="240"/>
      <c r="B66" s="242" t="s">
        <v>439</v>
      </c>
      <c r="C66" s="218"/>
      <c r="D66" s="219"/>
      <c r="E66" s="220"/>
      <c r="F66" s="220">
        <v>0.2</v>
      </c>
      <c r="G66" s="220"/>
      <c r="H66" s="220">
        <v>2.97</v>
      </c>
      <c r="I66" s="220">
        <f t="shared" si="0"/>
        <v>0.59400000000000008</v>
      </c>
      <c r="J66" s="280" t="s">
        <v>1168</v>
      </c>
      <c r="K66" s="281"/>
      <c r="L66" s="281"/>
    </row>
    <row r="67" spans="1:12" outlineLevel="1">
      <c r="A67" s="240"/>
      <c r="B67" s="242" t="s">
        <v>440</v>
      </c>
      <c r="C67" s="218"/>
      <c r="D67" s="219"/>
      <c r="E67" s="220"/>
      <c r="F67" s="220">
        <v>1.44</v>
      </c>
      <c r="G67" s="220"/>
      <c r="H67" s="220">
        <v>2.97</v>
      </c>
      <c r="I67" s="220">
        <f t="shared" si="0"/>
        <v>4.2767999999999997</v>
      </c>
      <c r="J67" s="280"/>
      <c r="K67" s="281"/>
      <c r="L67" s="281"/>
    </row>
    <row r="68" spans="1:12" outlineLevel="1">
      <c r="A68" s="240"/>
      <c r="B68" s="242" t="s">
        <v>436</v>
      </c>
      <c r="C68" s="218"/>
      <c r="D68" s="219"/>
      <c r="E68" s="220"/>
      <c r="F68" s="220">
        <v>0.9</v>
      </c>
      <c r="G68" s="220"/>
      <c r="H68" s="220">
        <v>2.97</v>
      </c>
      <c r="I68" s="220">
        <f t="shared" si="0"/>
        <v>2.673</v>
      </c>
      <c r="J68" s="280"/>
      <c r="K68" s="281"/>
      <c r="L68" s="281"/>
    </row>
    <row r="69" spans="1:12" outlineLevel="1">
      <c r="A69" s="240"/>
      <c r="B69" s="242" t="s">
        <v>437</v>
      </c>
      <c r="C69" s="218"/>
      <c r="D69" s="219"/>
      <c r="E69" s="220"/>
      <c r="F69" s="220">
        <v>1.76</v>
      </c>
      <c r="G69" s="220"/>
      <c r="H69" s="220">
        <v>2.97</v>
      </c>
      <c r="I69" s="220">
        <f t="shared" si="0"/>
        <v>5.2272000000000007</v>
      </c>
      <c r="J69" s="280" t="s">
        <v>1168</v>
      </c>
      <c r="K69" s="281"/>
      <c r="L69" s="281"/>
    </row>
    <row r="70" spans="1:12" outlineLevel="1">
      <c r="A70" s="240"/>
      <c r="B70" s="242"/>
      <c r="C70" s="218"/>
      <c r="D70" s="219"/>
      <c r="E70" s="220"/>
      <c r="F70" s="220"/>
      <c r="G70" s="220"/>
      <c r="H70" s="220"/>
      <c r="I70" s="220"/>
      <c r="J70" s="280"/>
      <c r="K70" s="281"/>
      <c r="L70" s="281"/>
    </row>
    <row r="71" spans="1:12" ht="31.5" outlineLevel="1">
      <c r="A71" s="210" t="s">
        <v>215</v>
      </c>
      <c r="B71" s="239" t="s">
        <v>441</v>
      </c>
      <c r="C71" s="243" t="s">
        <v>4</v>
      </c>
      <c r="D71" s="244"/>
      <c r="E71" s="214"/>
      <c r="F71" s="214"/>
      <c r="G71" s="214"/>
      <c r="H71" s="214"/>
      <c r="I71" s="215">
        <f>SUM(I72:I81)</f>
        <v>29.967300000000005</v>
      </c>
      <c r="J71" s="280"/>
      <c r="K71" s="281"/>
      <c r="L71" s="281"/>
    </row>
    <row r="72" spans="1:12" outlineLevel="1">
      <c r="A72" s="240"/>
      <c r="B72" s="241" t="s">
        <v>411</v>
      </c>
      <c r="C72" s="245"/>
      <c r="D72" s="246"/>
      <c r="E72" s="220"/>
      <c r="F72" s="220"/>
      <c r="G72" s="220"/>
      <c r="H72" s="220"/>
      <c r="I72" s="220"/>
      <c r="J72" s="280" t="s">
        <v>1168</v>
      </c>
      <c r="K72" s="281"/>
      <c r="L72" s="281"/>
    </row>
    <row r="73" spans="1:12" outlineLevel="1">
      <c r="A73" s="240"/>
      <c r="B73" s="242" t="s">
        <v>442</v>
      </c>
      <c r="C73" s="245"/>
      <c r="D73" s="246"/>
      <c r="E73" s="220"/>
      <c r="F73" s="220">
        <v>2.75</v>
      </c>
      <c r="G73" s="220"/>
      <c r="H73" s="220">
        <v>2.97</v>
      </c>
      <c r="I73" s="220">
        <f>F73*H73</f>
        <v>8.1675000000000004</v>
      </c>
      <c r="J73" s="280"/>
      <c r="K73" s="281"/>
      <c r="L73" s="281"/>
    </row>
    <row r="74" spans="1:12" outlineLevel="1">
      <c r="A74" s="240"/>
      <c r="B74" s="241" t="s">
        <v>443</v>
      </c>
      <c r="C74" s="245"/>
      <c r="D74" s="246"/>
      <c r="E74" s="220"/>
      <c r="F74" s="220"/>
      <c r="G74" s="220"/>
      <c r="H74" s="220"/>
      <c r="I74" s="220"/>
      <c r="J74" s="280"/>
      <c r="K74" s="281"/>
      <c r="L74" s="281"/>
    </row>
    <row r="75" spans="1:12" outlineLevel="1">
      <c r="A75" s="240"/>
      <c r="B75" s="242" t="s">
        <v>444</v>
      </c>
      <c r="C75" s="245"/>
      <c r="D75" s="246"/>
      <c r="E75" s="220"/>
      <c r="F75" s="220">
        <v>2.64</v>
      </c>
      <c r="G75" s="220"/>
      <c r="H75" s="220">
        <v>2.97</v>
      </c>
      <c r="I75" s="220">
        <f>F75*H75</f>
        <v>7.8408000000000007</v>
      </c>
      <c r="J75" s="280" t="s">
        <v>1168</v>
      </c>
      <c r="K75" s="281"/>
      <c r="L75" s="281"/>
    </row>
    <row r="76" spans="1:12" outlineLevel="1">
      <c r="A76" s="240"/>
      <c r="B76" s="242" t="s">
        <v>445</v>
      </c>
      <c r="C76" s="245"/>
      <c r="D76" s="246"/>
      <c r="E76" s="220"/>
      <c r="F76" s="220">
        <v>2.31</v>
      </c>
      <c r="G76" s="220"/>
      <c r="H76" s="220">
        <v>2.97</v>
      </c>
      <c r="I76" s="220">
        <f>F76*H76</f>
        <v>6.8607000000000005</v>
      </c>
      <c r="J76" s="280"/>
      <c r="K76" s="281"/>
      <c r="L76" s="281"/>
    </row>
    <row r="77" spans="1:12" outlineLevel="1">
      <c r="A77" s="240"/>
      <c r="B77" s="241" t="s">
        <v>446</v>
      </c>
      <c r="C77" s="245"/>
      <c r="D77" s="246"/>
      <c r="E77" s="220"/>
      <c r="F77" s="220"/>
      <c r="G77" s="220"/>
      <c r="H77" s="220"/>
      <c r="I77" s="220"/>
      <c r="J77" s="280"/>
      <c r="K77" s="281"/>
      <c r="L77" s="281"/>
    </row>
    <row r="78" spans="1:12" outlineLevel="1">
      <c r="A78" s="240"/>
      <c r="B78" s="242" t="s">
        <v>447</v>
      </c>
      <c r="C78" s="245"/>
      <c r="D78" s="246"/>
      <c r="E78" s="220"/>
      <c r="F78" s="220">
        <v>1.17</v>
      </c>
      <c r="G78" s="220"/>
      <c r="H78" s="220">
        <v>2.97</v>
      </c>
      <c r="I78" s="220">
        <f>F78*H78</f>
        <v>3.4748999999999999</v>
      </c>
      <c r="J78" s="280" t="s">
        <v>1168</v>
      </c>
      <c r="K78" s="281"/>
      <c r="L78" s="281"/>
    </row>
    <row r="79" spans="1:12" outlineLevel="1">
      <c r="A79" s="240"/>
      <c r="B79" s="241" t="s">
        <v>448</v>
      </c>
      <c r="C79" s="245"/>
      <c r="D79" s="246"/>
      <c r="E79" s="220"/>
      <c r="F79" s="220"/>
      <c r="G79" s="220"/>
      <c r="H79" s="220"/>
      <c r="I79" s="220"/>
      <c r="J79" s="280"/>
      <c r="K79" s="281"/>
      <c r="L79" s="281"/>
    </row>
    <row r="80" spans="1:12" outlineLevel="1">
      <c r="A80" s="240"/>
      <c r="B80" s="242" t="s">
        <v>449</v>
      </c>
      <c r="C80" s="245"/>
      <c r="D80" s="246"/>
      <c r="E80" s="220"/>
      <c r="F80" s="220">
        <v>1.22</v>
      </c>
      <c r="G80" s="220"/>
      <c r="H80" s="220">
        <v>2.97</v>
      </c>
      <c r="I80" s="220">
        <f>F80*H80</f>
        <v>3.6234000000000002</v>
      </c>
      <c r="J80" s="280"/>
      <c r="K80" s="281"/>
      <c r="L80" s="281"/>
    </row>
    <row r="81" spans="1:12" outlineLevel="1">
      <c r="A81" s="240"/>
      <c r="B81" s="242"/>
      <c r="C81" s="245"/>
      <c r="D81" s="246"/>
      <c r="E81" s="220"/>
      <c r="F81" s="220"/>
      <c r="G81" s="220"/>
      <c r="H81" s="220"/>
      <c r="I81" s="220"/>
      <c r="J81" s="280" t="s">
        <v>1168</v>
      </c>
      <c r="K81" s="281"/>
      <c r="L81" s="281"/>
    </row>
    <row r="82" spans="1:12" ht="31.5" outlineLevel="1">
      <c r="A82" s="210" t="s">
        <v>216</v>
      </c>
      <c r="B82" s="239" t="s">
        <v>450</v>
      </c>
      <c r="C82" s="243" t="s">
        <v>4</v>
      </c>
      <c r="D82" s="244"/>
      <c r="E82" s="214"/>
      <c r="F82" s="214"/>
      <c r="G82" s="214"/>
      <c r="H82" s="214"/>
      <c r="I82" s="215">
        <f>SUM(I83:I93)</f>
        <v>41.906700000000008</v>
      </c>
      <c r="J82" s="280"/>
      <c r="K82" s="281"/>
      <c r="L82" s="281"/>
    </row>
    <row r="83" spans="1:12" outlineLevel="1">
      <c r="A83" s="240"/>
      <c r="B83" s="241" t="s">
        <v>412</v>
      </c>
      <c r="C83" s="245"/>
      <c r="D83" s="246"/>
      <c r="E83" s="220"/>
      <c r="F83" s="220"/>
      <c r="G83" s="220"/>
      <c r="H83" s="220"/>
      <c r="I83" s="220"/>
      <c r="J83" s="280"/>
      <c r="K83" s="281"/>
      <c r="L83" s="281"/>
    </row>
    <row r="84" spans="1:12" outlineLevel="1">
      <c r="A84" s="240"/>
      <c r="B84" s="242" t="s">
        <v>451</v>
      </c>
      <c r="C84" s="245"/>
      <c r="D84" s="246"/>
      <c r="E84" s="220"/>
      <c r="F84" s="220">
        <v>2.12</v>
      </c>
      <c r="G84" s="220"/>
      <c r="H84" s="220">
        <v>2.97</v>
      </c>
      <c r="I84" s="220">
        <f>F84*H84</f>
        <v>6.2964000000000011</v>
      </c>
      <c r="J84" s="280" t="s">
        <v>1168</v>
      </c>
      <c r="K84" s="281"/>
      <c r="L84" s="281"/>
    </row>
    <row r="85" spans="1:12" outlineLevel="1">
      <c r="A85" s="240"/>
      <c r="B85" s="242" t="s">
        <v>452</v>
      </c>
      <c r="C85" s="245"/>
      <c r="D85" s="246"/>
      <c r="E85" s="220"/>
      <c r="F85" s="220">
        <v>1.79</v>
      </c>
      <c r="G85" s="220"/>
      <c r="H85" s="220">
        <v>2.97</v>
      </c>
      <c r="I85" s="220">
        <f>F85*H85</f>
        <v>5.3163</v>
      </c>
      <c r="J85" s="280"/>
      <c r="K85" s="281"/>
      <c r="L85" s="281"/>
    </row>
    <row r="86" spans="1:12" outlineLevel="1">
      <c r="A86" s="240"/>
      <c r="B86" s="241" t="s">
        <v>413</v>
      </c>
      <c r="C86" s="245"/>
      <c r="D86" s="246"/>
      <c r="E86" s="220"/>
      <c r="F86" s="220"/>
      <c r="G86" s="220"/>
      <c r="H86" s="220"/>
      <c r="I86" s="220"/>
      <c r="J86" s="280"/>
      <c r="K86" s="281"/>
      <c r="L86" s="281"/>
    </row>
    <row r="87" spans="1:12" outlineLevel="1">
      <c r="A87" s="240"/>
      <c r="B87" s="242" t="s">
        <v>436</v>
      </c>
      <c r="C87" s="245"/>
      <c r="D87" s="246"/>
      <c r="E87" s="220"/>
      <c r="F87" s="220">
        <v>0.97</v>
      </c>
      <c r="G87" s="220"/>
      <c r="H87" s="220">
        <v>2.97</v>
      </c>
      <c r="I87" s="220">
        <f>F87*H87</f>
        <v>2.8809</v>
      </c>
      <c r="J87" s="280" t="s">
        <v>1168</v>
      </c>
      <c r="K87" s="281"/>
      <c r="L87" s="281"/>
    </row>
    <row r="88" spans="1:12" outlineLevel="1">
      <c r="A88" s="240"/>
      <c r="B88" s="242" t="s">
        <v>453</v>
      </c>
      <c r="C88" s="245"/>
      <c r="D88" s="246"/>
      <c r="E88" s="220"/>
      <c r="F88" s="220">
        <v>2</v>
      </c>
      <c r="G88" s="220"/>
      <c r="H88" s="220">
        <v>2.97</v>
      </c>
      <c r="I88" s="220">
        <f>F88*H88</f>
        <v>5.94</v>
      </c>
      <c r="J88" s="280"/>
      <c r="K88" s="281"/>
      <c r="L88" s="281"/>
    </row>
    <row r="89" spans="1:12" outlineLevel="1">
      <c r="A89" s="240"/>
      <c r="B89" s="242" t="s">
        <v>454</v>
      </c>
      <c r="C89" s="245"/>
      <c r="D89" s="246"/>
      <c r="E89" s="220"/>
      <c r="F89" s="220">
        <v>2.25</v>
      </c>
      <c r="G89" s="220"/>
      <c r="H89" s="220">
        <v>2.97</v>
      </c>
      <c r="I89" s="220">
        <f>F89*H89</f>
        <v>6.6825000000000001</v>
      </c>
      <c r="J89" s="280"/>
      <c r="K89" s="281"/>
      <c r="L89" s="281"/>
    </row>
    <row r="90" spans="1:12" outlineLevel="1">
      <c r="A90" s="240"/>
      <c r="B90" s="241" t="s">
        <v>414</v>
      </c>
      <c r="C90" s="245"/>
      <c r="D90" s="246"/>
      <c r="E90" s="220"/>
      <c r="F90" s="220"/>
      <c r="G90" s="220"/>
      <c r="H90" s="220"/>
      <c r="I90" s="220"/>
      <c r="J90" s="280" t="s">
        <v>1168</v>
      </c>
      <c r="K90" s="281"/>
      <c r="L90" s="281"/>
    </row>
    <row r="91" spans="1:12" outlineLevel="1">
      <c r="A91" s="240"/>
      <c r="B91" s="242" t="s">
        <v>455</v>
      </c>
      <c r="C91" s="245"/>
      <c r="D91" s="246"/>
      <c r="E91" s="220"/>
      <c r="F91" s="220">
        <v>2.2999999999999998</v>
      </c>
      <c r="G91" s="220"/>
      <c r="H91" s="220">
        <v>2.97</v>
      </c>
      <c r="I91" s="220">
        <f>F91*H91</f>
        <v>6.8309999999999995</v>
      </c>
      <c r="J91" s="280"/>
      <c r="K91" s="281"/>
      <c r="L91" s="281"/>
    </row>
    <row r="92" spans="1:12" outlineLevel="1">
      <c r="A92" s="240"/>
      <c r="B92" s="242" t="s">
        <v>436</v>
      </c>
      <c r="C92" s="245"/>
      <c r="D92" s="246"/>
      <c r="E92" s="220"/>
      <c r="F92" s="220">
        <v>2.68</v>
      </c>
      <c r="G92" s="220"/>
      <c r="H92" s="220">
        <v>2.97</v>
      </c>
      <c r="I92" s="220">
        <f>F92*H92</f>
        <v>7.9596000000000009</v>
      </c>
      <c r="J92" s="280"/>
      <c r="K92" s="281"/>
      <c r="L92" s="281"/>
    </row>
    <row r="93" spans="1:12" outlineLevel="1">
      <c r="A93" s="240"/>
      <c r="B93" s="242"/>
      <c r="C93" s="245"/>
      <c r="D93" s="246"/>
      <c r="E93" s="220"/>
      <c r="F93" s="220"/>
      <c r="G93" s="220"/>
      <c r="H93" s="220"/>
      <c r="I93" s="220"/>
      <c r="J93" s="280" t="s">
        <v>1168</v>
      </c>
      <c r="K93" s="281"/>
      <c r="L93" s="281"/>
    </row>
    <row r="94" spans="1:12" outlineLevel="1">
      <c r="A94" s="210" t="s">
        <v>217</v>
      </c>
      <c r="B94" s="239" t="s">
        <v>456</v>
      </c>
      <c r="C94" s="243" t="s">
        <v>4</v>
      </c>
      <c r="D94" s="244"/>
      <c r="E94" s="214"/>
      <c r="F94" s="214"/>
      <c r="G94" s="214"/>
      <c r="H94" s="214"/>
      <c r="I94" s="215">
        <f>SUM(I95:I105)</f>
        <v>95.544899999999998</v>
      </c>
      <c r="J94" s="280"/>
      <c r="K94" s="281"/>
      <c r="L94" s="281"/>
    </row>
    <row r="95" spans="1:12" outlineLevel="1">
      <c r="A95" s="240"/>
      <c r="B95" s="241" t="s">
        <v>411</v>
      </c>
      <c r="C95" s="245"/>
      <c r="D95" s="246"/>
      <c r="E95" s="220"/>
      <c r="F95" s="220"/>
      <c r="G95" s="220"/>
      <c r="H95" s="220"/>
      <c r="I95" s="220"/>
      <c r="J95" s="280"/>
      <c r="K95" s="281"/>
      <c r="L95" s="281"/>
    </row>
    <row r="96" spans="1:12" outlineLevel="1">
      <c r="A96" s="240"/>
      <c r="B96" s="242" t="s">
        <v>457</v>
      </c>
      <c r="C96" s="245"/>
      <c r="D96" s="246"/>
      <c r="E96" s="220"/>
      <c r="F96" s="220">
        <v>1.48</v>
      </c>
      <c r="G96" s="220"/>
      <c r="H96" s="220">
        <v>2.97</v>
      </c>
      <c r="I96" s="220">
        <f t="shared" ref="I96:I104" si="1">F96*H96</f>
        <v>4.3956</v>
      </c>
      <c r="J96" s="280" t="s">
        <v>1168</v>
      </c>
      <c r="K96" s="281"/>
      <c r="L96" s="281"/>
    </row>
    <row r="97" spans="1:12" outlineLevel="1">
      <c r="A97" s="240"/>
      <c r="B97" s="242" t="s">
        <v>457</v>
      </c>
      <c r="C97" s="245"/>
      <c r="D97" s="246"/>
      <c r="E97" s="220"/>
      <c r="F97" s="220">
        <v>0.73</v>
      </c>
      <c r="G97" s="220"/>
      <c r="H97" s="220">
        <v>2.97</v>
      </c>
      <c r="I97" s="220">
        <f t="shared" si="1"/>
        <v>2.1680999999999999</v>
      </c>
      <c r="J97" s="280"/>
      <c r="K97" s="281"/>
      <c r="L97" s="281"/>
    </row>
    <row r="98" spans="1:12" outlineLevel="1">
      <c r="A98" s="240"/>
      <c r="B98" s="242" t="s">
        <v>458</v>
      </c>
      <c r="C98" s="245"/>
      <c r="D98" s="246"/>
      <c r="E98" s="220"/>
      <c r="F98" s="220">
        <v>6.54</v>
      </c>
      <c r="G98" s="220"/>
      <c r="H98" s="220">
        <v>2.97</v>
      </c>
      <c r="I98" s="220">
        <f t="shared" si="1"/>
        <v>19.4238</v>
      </c>
      <c r="J98" s="280"/>
      <c r="K98" s="281"/>
      <c r="L98" s="281"/>
    </row>
    <row r="99" spans="1:12" outlineLevel="1">
      <c r="A99" s="240"/>
      <c r="B99" s="242" t="s">
        <v>459</v>
      </c>
      <c r="C99" s="245"/>
      <c r="D99" s="246"/>
      <c r="E99" s="220"/>
      <c r="F99" s="220">
        <f>0.89+2.06</f>
        <v>2.95</v>
      </c>
      <c r="G99" s="220"/>
      <c r="H99" s="220">
        <v>2.97</v>
      </c>
      <c r="I99" s="220">
        <f t="shared" si="1"/>
        <v>8.7615000000000016</v>
      </c>
      <c r="J99" s="280" t="s">
        <v>1168</v>
      </c>
      <c r="K99" s="281"/>
      <c r="L99" s="281"/>
    </row>
    <row r="100" spans="1:12" outlineLevel="1">
      <c r="A100" s="240"/>
      <c r="B100" s="242" t="s">
        <v>460</v>
      </c>
      <c r="C100" s="245"/>
      <c r="D100" s="246"/>
      <c r="E100" s="220"/>
      <c r="F100" s="220">
        <v>4.54</v>
      </c>
      <c r="G100" s="220"/>
      <c r="H100" s="220">
        <v>2.97</v>
      </c>
      <c r="I100" s="220">
        <f t="shared" si="1"/>
        <v>13.4838</v>
      </c>
      <c r="J100" s="280"/>
      <c r="K100" s="281"/>
      <c r="L100" s="281"/>
    </row>
    <row r="101" spans="1:12" outlineLevel="1">
      <c r="A101" s="240"/>
      <c r="B101" s="242" t="s">
        <v>461</v>
      </c>
      <c r="C101" s="245"/>
      <c r="D101" s="246"/>
      <c r="E101" s="220"/>
      <c r="F101" s="220">
        <v>2.85</v>
      </c>
      <c r="G101" s="220"/>
      <c r="H101" s="220">
        <v>2.97</v>
      </c>
      <c r="I101" s="220">
        <f t="shared" si="1"/>
        <v>8.464500000000001</v>
      </c>
      <c r="J101" s="280"/>
      <c r="K101" s="281"/>
      <c r="L101" s="281"/>
    </row>
    <row r="102" spans="1:12" outlineLevel="1">
      <c r="A102" s="240"/>
      <c r="B102" s="242" t="s">
        <v>462</v>
      </c>
      <c r="C102" s="245"/>
      <c r="D102" s="246"/>
      <c r="E102" s="220"/>
      <c r="F102" s="220">
        <v>2.4500000000000002</v>
      </c>
      <c r="G102" s="220"/>
      <c r="H102" s="220">
        <v>2.97</v>
      </c>
      <c r="I102" s="220">
        <f t="shared" si="1"/>
        <v>7.2765000000000013</v>
      </c>
      <c r="J102" s="280" t="s">
        <v>1168</v>
      </c>
      <c r="K102" s="281"/>
      <c r="L102" s="281"/>
    </row>
    <row r="103" spans="1:12" outlineLevel="1">
      <c r="A103" s="240"/>
      <c r="B103" s="242" t="s">
        <v>463</v>
      </c>
      <c r="C103" s="245"/>
      <c r="D103" s="246"/>
      <c r="E103" s="220"/>
      <c r="F103" s="220">
        <v>2.38</v>
      </c>
      <c r="G103" s="220"/>
      <c r="H103" s="220">
        <v>2.97</v>
      </c>
      <c r="I103" s="220">
        <f t="shared" si="1"/>
        <v>7.0686</v>
      </c>
      <c r="J103" s="280"/>
      <c r="K103" s="281"/>
      <c r="L103" s="281"/>
    </row>
    <row r="104" spans="1:12" outlineLevel="1">
      <c r="A104" s="240"/>
      <c r="B104" s="242" t="s">
        <v>464</v>
      </c>
      <c r="C104" s="245"/>
      <c r="D104" s="246"/>
      <c r="E104" s="220"/>
      <c r="F104" s="220">
        <f>2.05+6.2</f>
        <v>8.25</v>
      </c>
      <c r="G104" s="220"/>
      <c r="H104" s="220">
        <v>2.97</v>
      </c>
      <c r="I104" s="220">
        <f t="shared" si="1"/>
        <v>24.502500000000001</v>
      </c>
      <c r="J104" s="280"/>
      <c r="K104" s="281"/>
      <c r="L104" s="281"/>
    </row>
    <row r="105" spans="1:12" outlineLevel="1">
      <c r="A105" s="240"/>
      <c r="B105" s="242"/>
      <c r="C105" s="245"/>
      <c r="D105" s="246"/>
      <c r="E105" s="220"/>
      <c r="F105" s="220"/>
      <c r="G105" s="220"/>
      <c r="H105" s="220"/>
      <c r="I105" s="220"/>
      <c r="J105" s="280" t="s">
        <v>1168</v>
      </c>
      <c r="K105" s="281"/>
      <c r="L105" s="281"/>
    </row>
    <row r="106" spans="1:12">
      <c r="A106" s="227" t="s">
        <v>23</v>
      </c>
      <c r="B106" s="228" t="s">
        <v>45</v>
      </c>
      <c r="C106" s="229"/>
      <c r="D106" s="230"/>
      <c r="E106" s="231"/>
      <c r="F106" s="231"/>
      <c r="G106" s="231"/>
      <c r="H106" s="231"/>
      <c r="I106" s="232"/>
      <c r="J106" s="280"/>
      <c r="K106" s="281"/>
      <c r="L106" s="281"/>
    </row>
    <row r="107" spans="1:12" outlineLevel="1">
      <c r="A107" s="247" t="s">
        <v>33</v>
      </c>
      <c r="B107" s="239" t="s">
        <v>465</v>
      </c>
      <c r="C107" s="248" t="s">
        <v>4</v>
      </c>
      <c r="D107" s="213"/>
      <c r="E107" s="249"/>
      <c r="F107" s="214"/>
      <c r="G107" s="249"/>
      <c r="H107" s="214"/>
      <c r="I107" s="250">
        <f>SUM(I108:I118)</f>
        <v>25.8</v>
      </c>
      <c r="J107" s="280"/>
      <c r="K107" s="281"/>
      <c r="L107" s="281"/>
    </row>
    <row r="108" spans="1:12" outlineLevel="1">
      <c r="A108" s="240"/>
      <c r="B108" s="241" t="s">
        <v>413</v>
      </c>
      <c r="C108" s="218"/>
      <c r="D108" s="219"/>
      <c r="E108" s="220"/>
      <c r="F108" s="220"/>
      <c r="G108" s="220"/>
      <c r="H108" s="220"/>
      <c r="I108" s="220"/>
      <c r="J108" s="280" t="s">
        <v>1168</v>
      </c>
      <c r="K108" s="281"/>
      <c r="L108" s="281"/>
    </row>
    <row r="109" spans="1:12" outlineLevel="1">
      <c r="A109" s="240"/>
      <c r="B109" s="242" t="s">
        <v>163</v>
      </c>
      <c r="C109" s="218"/>
      <c r="D109" s="219"/>
      <c r="E109" s="220">
        <v>10.039999999999999</v>
      </c>
      <c r="F109" s="220"/>
      <c r="G109" s="220"/>
      <c r="H109" s="220"/>
      <c r="I109" s="220">
        <f t="shared" ref="I109:I113" si="2">E109</f>
        <v>10.039999999999999</v>
      </c>
      <c r="J109" s="280"/>
      <c r="K109" s="281"/>
      <c r="L109" s="281"/>
    </row>
    <row r="110" spans="1:12" outlineLevel="1">
      <c r="A110" s="240"/>
      <c r="B110" s="242" t="s">
        <v>425</v>
      </c>
      <c r="C110" s="218"/>
      <c r="D110" s="219"/>
      <c r="E110" s="220">
        <v>3.25</v>
      </c>
      <c r="F110" s="220"/>
      <c r="G110" s="220"/>
      <c r="H110" s="220"/>
      <c r="I110" s="220">
        <f t="shared" si="2"/>
        <v>3.25</v>
      </c>
      <c r="J110" s="280"/>
      <c r="K110" s="281"/>
      <c r="L110" s="281"/>
    </row>
    <row r="111" spans="1:12" outlineLevel="1">
      <c r="A111" s="240"/>
      <c r="B111" s="242" t="s">
        <v>423</v>
      </c>
      <c r="C111" s="245"/>
      <c r="D111" s="219"/>
      <c r="E111" s="220">
        <v>1.57</v>
      </c>
      <c r="F111" s="220"/>
      <c r="G111" s="220"/>
      <c r="H111" s="220"/>
      <c r="I111" s="220">
        <f t="shared" si="2"/>
        <v>1.57</v>
      </c>
      <c r="J111" s="280" t="s">
        <v>1168</v>
      </c>
      <c r="K111" s="281"/>
      <c r="L111" s="281"/>
    </row>
    <row r="112" spans="1:12" outlineLevel="1">
      <c r="A112" s="240"/>
      <c r="B112" s="242" t="s">
        <v>424</v>
      </c>
      <c r="C112" s="245"/>
      <c r="D112" s="219"/>
      <c r="E112" s="220">
        <v>1.57</v>
      </c>
      <c r="F112" s="220"/>
      <c r="G112" s="220"/>
      <c r="H112" s="220"/>
      <c r="I112" s="220">
        <f t="shared" si="2"/>
        <v>1.57</v>
      </c>
      <c r="J112" s="280"/>
      <c r="K112" s="281"/>
      <c r="L112" s="281"/>
    </row>
    <row r="113" spans="1:12" outlineLevel="1">
      <c r="A113" s="240"/>
      <c r="B113" s="242" t="s">
        <v>429</v>
      </c>
      <c r="C113" s="245"/>
      <c r="D113" s="219"/>
      <c r="E113" s="220">
        <v>3.16</v>
      </c>
      <c r="F113" s="220"/>
      <c r="G113" s="220"/>
      <c r="H113" s="220"/>
      <c r="I113" s="220">
        <f t="shared" si="2"/>
        <v>3.16</v>
      </c>
      <c r="J113" s="280"/>
      <c r="K113" s="281"/>
      <c r="L113" s="281"/>
    </row>
    <row r="114" spans="1:12" outlineLevel="1">
      <c r="A114" s="240"/>
      <c r="B114" s="241" t="s">
        <v>414</v>
      </c>
      <c r="C114" s="245"/>
      <c r="D114" s="246"/>
      <c r="E114" s="251"/>
      <c r="F114" s="251"/>
      <c r="G114" s="251"/>
      <c r="H114" s="251"/>
      <c r="I114" s="251"/>
      <c r="J114" s="280" t="s">
        <v>1168</v>
      </c>
      <c r="K114" s="281"/>
      <c r="L114" s="281"/>
    </row>
    <row r="115" spans="1:12" outlineLevel="1">
      <c r="A115" s="240"/>
      <c r="B115" s="242" t="s">
        <v>423</v>
      </c>
      <c r="C115" s="245"/>
      <c r="D115" s="219"/>
      <c r="E115" s="220">
        <v>1.57</v>
      </c>
      <c r="F115" s="220"/>
      <c r="G115" s="220"/>
      <c r="H115" s="220"/>
      <c r="I115" s="220">
        <f t="shared" ref="I115:I117" si="3">E115</f>
        <v>1.57</v>
      </c>
      <c r="J115" s="280"/>
      <c r="K115" s="281"/>
      <c r="L115" s="281"/>
    </row>
    <row r="116" spans="1:12" outlineLevel="1">
      <c r="A116" s="240"/>
      <c r="B116" s="242" t="s">
        <v>424</v>
      </c>
      <c r="C116" s="245"/>
      <c r="D116" s="219"/>
      <c r="E116" s="220">
        <v>1.57</v>
      </c>
      <c r="F116" s="220"/>
      <c r="G116" s="220"/>
      <c r="H116" s="220"/>
      <c r="I116" s="220">
        <f t="shared" si="3"/>
        <v>1.57</v>
      </c>
      <c r="J116" s="280"/>
      <c r="K116" s="281"/>
      <c r="L116" s="281"/>
    </row>
    <row r="117" spans="1:12" outlineLevel="1">
      <c r="A117" s="240"/>
      <c r="B117" s="242" t="s">
        <v>429</v>
      </c>
      <c r="C117" s="245"/>
      <c r="D117" s="219"/>
      <c r="E117" s="220">
        <v>3.07</v>
      </c>
      <c r="F117" s="220"/>
      <c r="G117" s="220"/>
      <c r="H117" s="220"/>
      <c r="I117" s="220">
        <f t="shared" si="3"/>
        <v>3.07</v>
      </c>
      <c r="J117" s="280" t="s">
        <v>1168</v>
      </c>
      <c r="K117" s="281"/>
      <c r="L117" s="281"/>
    </row>
    <row r="118" spans="1:12" outlineLevel="1">
      <c r="A118" s="252"/>
      <c r="B118" s="253"/>
      <c r="C118" s="254"/>
      <c r="D118" s="255"/>
      <c r="E118" s="256"/>
      <c r="F118" s="256"/>
      <c r="G118" s="256"/>
      <c r="H118" s="256"/>
      <c r="I118" s="256"/>
      <c r="J118" s="280"/>
      <c r="K118" s="281"/>
      <c r="L118" s="281"/>
    </row>
    <row r="119" spans="1:12">
      <c r="A119" s="227" t="s">
        <v>24</v>
      </c>
      <c r="B119" s="228" t="s">
        <v>11</v>
      </c>
      <c r="C119" s="229"/>
      <c r="D119" s="230"/>
      <c r="E119" s="231"/>
      <c r="F119" s="231"/>
      <c r="G119" s="231"/>
      <c r="H119" s="231"/>
      <c r="I119" s="232"/>
      <c r="J119" s="280"/>
      <c r="K119" s="281"/>
      <c r="L119" s="281"/>
    </row>
    <row r="120" spans="1:12" outlineLevel="1">
      <c r="A120" s="257" t="s">
        <v>34</v>
      </c>
      <c r="B120" s="189" t="s">
        <v>466</v>
      </c>
      <c r="C120" s="233"/>
      <c r="D120" s="234"/>
      <c r="E120" s="235"/>
      <c r="F120" s="235"/>
      <c r="G120" s="235"/>
      <c r="H120" s="235"/>
      <c r="I120" s="236"/>
      <c r="J120" s="280" t="s">
        <v>1168</v>
      </c>
      <c r="K120" s="281"/>
      <c r="L120" s="281"/>
    </row>
    <row r="121" spans="1:12" outlineLevel="1">
      <c r="A121" s="247" t="s">
        <v>108</v>
      </c>
      <c r="B121" s="211" t="s">
        <v>467</v>
      </c>
      <c r="C121" s="248" t="s">
        <v>4</v>
      </c>
      <c r="D121" s="213"/>
      <c r="E121" s="249"/>
      <c r="F121" s="214"/>
      <c r="G121" s="249"/>
      <c r="H121" s="214"/>
      <c r="I121" s="250">
        <f>SUM(I122:I129)</f>
        <v>14.966999999999999</v>
      </c>
      <c r="J121" s="280"/>
      <c r="K121" s="281"/>
      <c r="L121" s="281"/>
    </row>
    <row r="122" spans="1:12" outlineLevel="1">
      <c r="A122" s="216"/>
      <c r="B122" s="258" t="s">
        <v>412</v>
      </c>
      <c r="C122" s="218"/>
      <c r="D122" s="219"/>
      <c r="E122" s="220"/>
      <c r="F122" s="220"/>
      <c r="G122" s="220"/>
      <c r="H122" s="220"/>
      <c r="I122" s="220"/>
      <c r="J122" s="280"/>
      <c r="K122" s="281"/>
      <c r="L122" s="281"/>
    </row>
    <row r="123" spans="1:12" outlineLevel="1">
      <c r="A123" s="216"/>
      <c r="B123" s="217" t="s">
        <v>468</v>
      </c>
      <c r="C123" s="218"/>
      <c r="D123" s="219">
        <v>0.3</v>
      </c>
      <c r="E123" s="220">
        <v>36.14</v>
      </c>
      <c r="F123" s="220"/>
      <c r="G123" s="220"/>
      <c r="H123" s="220"/>
      <c r="I123" s="220">
        <f>D123*E123</f>
        <v>10.842000000000001</v>
      </c>
      <c r="J123" s="280" t="s">
        <v>1168</v>
      </c>
      <c r="K123" s="281"/>
      <c r="L123" s="281"/>
    </row>
    <row r="124" spans="1:12" outlineLevel="1">
      <c r="A124" s="216"/>
      <c r="B124" s="217" t="s">
        <v>469</v>
      </c>
      <c r="C124" s="218"/>
      <c r="D124" s="219">
        <v>0.3</v>
      </c>
      <c r="E124" s="220">
        <v>5.28</v>
      </c>
      <c r="F124" s="220"/>
      <c r="G124" s="220"/>
      <c r="H124" s="220"/>
      <c r="I124" s="220">
        <f t="shared" ref="I124:I128" si="4">D124*E124</f>
        <v>1.5840000000000001</v>
      </c>
      <c r="J124" s="280"/>
      <c r="K124" s="281"/>
      <c r="L124" s="281"/>
    </row>
    <row r="125" spans="1:12" outlineLevel="1">
      <c r="A125" s="216"/>
      <c r="B125" s="258" t="s">
        <v>413</v>
      </c>
      <c r="C125" s="218"/>
      <c r="D125" s="219"/>
      <c r="E125" s="220"/>
      <c r="F125" s="220"/>
      <c r="G125" s="220"/>
      <c r="H125" s="220"/>
      <c r="I125" s="220"/>
      <c r="J125" s="280"/>
      <c r="K125" s="281"/>
      <c r="L125" s="281"/>
    </row>
    <row r="126" spans="1:12" outlineLevel="1">
      <c r="A126" s="216"/>
      <c r="B126" s="217" t="s">
        <v>422</v>
      </c>
      <c r="C126" s="218"/>
      <c r="D126" s="219">
        <v>0.3</v>
      </c>
      <c r="E126" s="220">
        <v>4.18</v>
      </c>
      <c r="F126" s="220"/>
      <c r="G126" s="220"/>
      <c r="H126" s="220"/>
      <c r="I126" s="220">
        <f t="shared" si="4"/>
        <v>1.2539999999999998</v>
      </c>
      <c r="J126" s="280" t="s">
        <v>1168</v>
      </c>
      <c r="K126" s="281"/>
      <c r="L126" s="281"/>
    </row>
    <row r="127" spans="1:12" outlineLevel="1">
      <c r="A127" s="216"/>
      <c r="B127" s="258" t="s">
        <v>414</v>
      </c>
      <c r="C127" s="218"/>
      <c r="D127" s="219"/>
      <c r="E127" s="220"/>
      <c r="F127" s="220"/>
      <c r="G127" s="220"/>
      <c r="H127" s="220"/>
      <c r="I127" s="220"/>
      <c r="J127" s="280"/>
      <c r="K127" s="281"/>
      <c r="L127" s="281"/>
    </row>
    <row r="128" spans="1:12" outlineLevel="1">
      <c r="A128" s="216"/>
      <c r="B128" s="217" t="s">
        <v>422</v>
      </c>
      <c r="C128" s="218"/>
      <c r="D128" s="219">
        <v>0.3</v>
      </c>
      <c r="E128" s="220">
        <v>4.29</v>
      </c>
      <c r="F128" s="220"/>
      <c r="G128" s="220"/>
      <c r="H128" s="220"/>
      <c r="I128" s="220">
        <f t="shared" si="4"/>
        <v>1.2869999999999999</v>
      </c>
      <c r="J128" s="280"/>
      <c r="K128" s="281"/>
      <c r="L128" s="281"/>
    </row>
    <row r="129" spans="1:13" outlineLevel="1">
      <c r="A129" s="221"/>
      <c r="B129" s="259"/>
      <c r="C129" s="223"/>
      <c r="D129" s="224"/>
      <c r="E129" s="225"/>
      <c r="F129" s="225"/>
      <c r="G129" s="225"/>
      <c r="H129" s="225"/>
      <c r="I129" s="220"/>
      <c r="J129" s="280" t="s">
        <v>1168</v>
      </c>
      <c r="K129" s="281"/>
      <c r="L129" s="281"/>
    </row>
    <row r="130" spans="1:13" outlineLevel="1">
      <c r="A130" s="247" t="s">
        <v>109</v>
      </c>
      <c r="B130" s="239" t="s">
        <v>470</v>
      </c>
      <c r="C130" s="248" t="s">
        <v>4</v>
      </c>
      <c r="D130" s="213"/>
      <c r="E130" s="249"/>
      <c r="F130" s="214"/>
      <c r="G130" s="249"/>
      <c r="H130" s="214"/>
      <c r="I130" s="250">
        <f>SUM(I131:I136)</f>
        <v>3.9737999999999998</v>
      </c>
      <c r="J130" s="280"/>
      <c r="K130" s="281"/>
      <c r="L130" s="281"/>
      <c r="M130" s="26"/>
    </row>
    <row r="131" spans="1:13" outlineLevel="1">
      <c r="A131" s="240"/>
      <c r="B131" s="241" t="s">
        <v>413</v>
      </c>
      <c r="C131" s="218"/>
      <c r="D131" s="219"/>
      <c r="E131" s="220"/>
      <c r="F131" s="220"/>
      <c r="G131" s="220"/>
      <c r="H131" s="220"/>
      <c r="I131" s="220"/>
      <c r="J131" s="280"/>
      <c r="K131" s="281"/>
      <c r="L131" s="281"/>
      <c r="M131" s="26"/>
    </row>
    <row r="132" spans="1:13" outlineLevel="1">
      <c r="A132" s="240"/>
      <c r="B132" s="242" t="s">
        <v>471</v>
      </c>
      <c r="C132" s="218"/>
      <c r="D132" s="219"/>
      <c r="E132" s="220"/>
      <c r="F132" s="220">
        <v>1.92</v>
      </c>
      <c r="G132" s="220">
        <v>0.5</v>
      </c>
      <c r="H132" s="220"/>
      <c r="I132" s="220">
        <f>F132*G132</f>
        <v>0.96</v>
      </c>
      <c r="J132" s="280" t="s">
        <v>1168</v>
      </c>
      <c r="K132" s="281"/>
      <c r="L132" s="281"/>
      <c r="M132" s="26"/>
    </row>
    <row r="133" spans="1:13" outlineLevel="1">
      <c r="A133" s="240"/>
      <c r="B133" s="242" t="s">
        <v>472</v>
      </c>
      <c r="C133" s="218"/>
      <c r="D133" s="219"/>
      <c r="E133" s="220"/>
      <c r="F133" s="220">
        <v>1.06</v>
      </c>
      <c r="G133" s="220">
        <v>0.45</v>
      </c>
      <c r="H133" s="220"/>
      <c r="I133" s="220">
        <f>F133*G133</f>
        <v>0.47700000000000004</v>
      </c>
      <c r="J133" s="280"/>
      <c r="K133" s="281"/>
      <c r="L133" s="281"/>
      <c r="M133" s="26"/>
    </row>
    <row r="134" spans="1:13" outlineLevel="1">
      <c r="A134" s="240"/>
      <c r="B134" s="241" t="s">
        <v>414</v>
      </c>
      <c r="C134" s="218"/>
      <c r="D134" s="219"/>
      <c r="E134" s="220"/>
      <c r="F134" s="220"/>
      <c r="G134" s="220"/>
      <c r="H134" s="220"/>
      <c r="I134" s="220"/>
      <c r="J134" s="280"/>
      <c r="K134" s="281"/>
      <c r="L134" s="281"/>
      <c r="M134" s="26"/>
    </row>
    <row r="135" spans="1:13" outlineLevel="1">
      <c r="A135" s="240"/>
      <c r="B135" s="242" t="s">
        <v>473</v>
      </c>
      <c r="C135" s="218"/>
      <c r="D135" s="219"/>
      <c r="E135" s="220"/>
      <c r="F135" s="220">
        <v>6.04</v>
      </c>
      <c r="G135" s="220">
        <v>0.42</v>
      </c>
      <c r="H135" s="220"/>
      <c r="I135" s="220">
        <f>F135*G135</f>
        <v>2.5367999999999999</v>
      </c>
      <c r="J135" s="280" t="s">
        <v>1168</v>
      </c>
      <c r="K135" s="281"/>
      <c r="L135" s="281"/>
      <c r="M135" s="26"/>
    </row>
    <row r="136" spans="1:13" outlineLevel="1">
      <c r="A136" s="252"/>
      <c r="B136" s="253"/>
      <c r="C136" s="223"/>
      <c r="D136" s="224"/>
      <c r="E136" s="225"/>
      <c r="F136" s="225"/>
      <c r="G136" s="225"/>
      <c r="H136" s="225"/>
      <c r="I136" s="225"/>
      <c r="J136" s="280"/>
      <c r="K136" s="281"/>
      <c r="L136" s="281"/>
      <c r="M136" s="26"/>
    </row>
    <row r="137" spans="1:13" ht="31.5" outlineLevel="1">
      <c r="A137" s="247" t="s">
        <v>230</v>
      </c>
      <c r="B137" s="239" t="s">
        <v>306</v>
      </c>
      <c r="C137" s="248" t="s">
        <v>4</v>
      </c>
      <c r="D137" s="213"/>
      <c r="E137" s="249"/>
      <c r="F137" s="214"/>
      <c r="G137" s="249"/>
      <c r="H137" s="214"/>
      <c r="I137" s="250">
        <f>SUM(I138:I156)</f>
        <v>171.48999999999998</v>
      </c>
      <c r="J137" s="280"/>
      <c r="K137" s="281"/>
      <c r="L137" s="281"/>
    </row>
    <row r="138" spans="1:13" outlineLevel="1">
      <c r="A138" s="240"/>
      <c r="B138" s="241" t="s">
        <v>413</v>
      </c>
      <c r="C138" s="218"/>
      <c r="D138" s="219"/>
      <c r="E138" s="220"/>
      <c r="F138" s="220"/>
      <c r="G138" s="220"/>
      <c r="H138" s="220"/>
      <c r="I138" s="220"/>
      <c r="J138" s="280" t="s">
        <v>1168</v>
      </c>
      <c r="K138" s="281"/>
      <c r="L138" s="281"/>
    </row>
    <row r="139" spans="1:13" outlineLevel="1">
      <c r="A139" s="240"/>
      <c r="B139" s="242" t="s">
        <v>163</v>
      </c>
      <c r="C139" s="218"/>
      <c r="D139" s="219"/>
      <c r="E139" s="220">
        <v>10.039999999999999</v>
      </c>
      <c r="F139" s="220"/>
      <c r="G139" s="220"/>
      <c r="H139" s="220"/>
      <c r="I139" s="220">
        <f t="shared" ref="I139:I146" si="5">E139</f>
        <v>10.039999999999999</v>
      </c>
      <c r="J139" s="280"/>
      <c r="K139" s="281"/>
      <c r="L139" s="281"/>
    </row>
    <row r="140" spans="1:13" outlineLevel="1">
      <c r="A140" s="240"/>
      <c r="B140" s="242" t="s">
        <v>425</v>
      </c>
      <c r="C140" s="218"/>
      <c r="D140" s="219"/>
      <c r="E140" s="220">
        <v>3.25</v>
      </c>
      <c r="F140" s="220"/>
      <c r="G140" s="220"/>
      <c r="H140" s="220"/>
      <c r="I140" s="220">
        <f t="shared" si="5"/>
        <v>3.25</v>
      </c>
      <c r="J140" s="280"/>
      <c r="K140" s="281"/>
      <c r="L140" s="281"/>
    </row>
    <row r="141" spans="1:13" outlineLevel="1">
      <c r="A141" s="240"/>
      <c r="B141" s="242" t="s">
        <v>428</v>
      </c>
      <c r="C141" s="218"/>
      <c r="D141" s="219"/>
      <c r="E141" s="220">
        <v>28.49</v>
      </c>
      <c r="F141" s="220"/>
      <c r="G141" s="220"/>
      <c r="H141" s="220"/>
      <c r="I141" s="220">
        <f t="shared" si="5"/>
        <v>28.49</v>
      </c>
      <c r="J141" s="280" t="s">
        <v>1168</v>
      </c>
      <c r="K141" s="281"/>
      <c r="L141" s="281"/>
    </row>
    <row r="142" spans="1:13" outlineLevel="1">
      <c r="A142" s="240"/>
      <c r="B142" s="242" t="s">
        <v>421</v>
      </c>
      <c r="C142" s="245"/>
      <c r="D142" s="219"/>
      <c r="E142" s="220">
        <v>11.28</v>
      </c>
      <c r="F142" s="220"/>
      <c r="G142" s="220"/>
      <c r="H142" s="220"/>
      <c r="I142" s="220">
        <f t="shared" si="5"/>
        <v>11.28</v>
      </c>
      <c r="J142" s="280"/>
      <c r="K142" s="281"/>
      <c r="L142" s="281"/>
    </row>
    <row r="143" spans="1:13" outlineLevel="1">
      <c r="A143" s="240"/>
      <c r="B143" s="242" t="s">
        <v>420</v>
      </c>
      <c r="C143" s="245"/>
      <c r="D143" s="219"/>
      <c r="E143" s="220">
        <v>27.38</v>
      </c>
      <c r="F143" s="220"/>
      <c r="G143" s="220"/>
      <c r="H143" s="220"/>
      <c r="I143" s="220">
        <f t="shared" si="5"/>
        <v>27.38</v>
      </c>
      <c r="J143" s="280"/>
      <c r="K143" s="281"/>
      <c r="L143" s="281"/>
    </row>
    <row r="144" spans="1:13" outlineLevel="1">
      <c r="A144" s="240"/>
      <c r="B144" s="242" t="s">
        <v>423</v>
      </c>
      <c r="C144" s="245"/>
      <c r="D144" s="219"/>
      <c r="E144" s="220">
        <v>1.57</v>
      </c>
      <c r="F144" s="220"/>
      <c r="G144" s="220"/>
      <c r="H144" s="220"/>
      <c r="I144" s="220">
        <f t="shared" si="5"/>
        <v>1.57</v>
      </c>
      <c r="J144" s="280" t="s">
        <v>1168</v>
      </c>
      <c r="K144" s="281"/>
      <c r="L144" s="281"/>
    </row>
    <row r="145" spans="1:12" outlineLevel="1">
      <c r="A145" s="240"/>
      <c r="B145" s="242" t="s">
        <v>424</v>
      </c>
      <c r="C145" s="245"/>
      <c r="D145" s="219"/>
      <c r="E145" s="220">
        <v>1.57</v>
      </c>
      <c r="F145" s="220"/>
      <c r="G145" s="220"/>
      <c r="H145" s="220"/>
      <c r="I145" s="220">
        <f t="shared" si="5"/>
        <v>1.57</v>
      </c>
      <c r="J145" s="280"/>
      <c r="K145" s="281"/>
      <c r="L145" s="281"/>
    </row>
    <row r="146" spans="1:12" outlineLevel="1">
      <c r="A146" s="240"/>
      <c r="B146" s="242" t="s">
        <v>429</v>
      </c>
      <c r="C146" s="245"/>
      <c r="D146" s="219"/>
      <c r="E146" s="220">
        <v>3.16</v>
      </c>
      <c r="F146" s="220"/>
      <c r="G146" s="220"/>
      <c r="H146" s="220"/>
      <c r="I146" s="220">
        <f t="shared" si="5"/>
        <v>3.16</v>
      </c>
      <c r="J146" s="280"/>
      <c r="K146" s="281"/>
      <c r="L146" s="281"/>
    </row>
    <row r="147" spans="1:12" outlineLevel="1">
      <c r="A147" s="240"/>
      <c r="B147" s="241" t="s">
        <v>414</v>
      </c>
      <c r="C147" s="245"/>
      <c r="D147" s="246"/>
      <c r="E147" s="251"/>
      <c r="F147" s="251"/>
      <c r="G147" s="251"/>
      <c r="H147" s="251"/>
      <c r="I147" s="251"/>
      <c r="J147" s="280" t="s">
        <v>1168</v>
      </c>
      <c r="K147" s="281"/>
      <c r="L147" s="281"/>
    </row>
    <row r="148" spans="1:12" outlineLevel="1">
      <c r="A148" s="240"/>
      <c r="B148" s="242" t="s">
        <v>420</v>
      </c>
      <c r="C148" s="245"/>
      <c r="D148" s="219"/>
      <c r="E148" s="220">
        <v>7.34</v>
      </c>
      <c r="F148" s="220"/>
      <c r="G148" s="220"/>
      <c r="H148" s="220"/>
      <c r="I148" s="220">
        <f t="shared" ref="I148:I155" si="6">E148</f>
        <v>7.34</v>
      </c>
      <c r="J148" s="280"/>
      <c r="K148" s="281"/>
      <c r="L148" s="281"/>
    </row>
    <row r="149" spans="1:12" outlineLevel="1">
      <c r="A149" s="240"/>
      <c r="B149" s="242" t="s">
        <v>420</v>
      </c>
      <c r="C149" s="245"/>
      <c r="D149" s="219"/>
      <c r="E149" s="220">
        <v>7.19</v>
      </c>
      <c r="F149" s="220"/>
      <c r="G149" s="220"/>
      <c r="H149" s="220"/>
      <c r="I149" s="220">
        <f t="shared" si="6"/>
        <v>7.19</v>
      </c>
      <c r="J149" s="280"/>
      <c r="K149" s="281"/>
      <c r="L149" s="281"/>
    </row>
    <row r="150" spans="1:12" outlineLevel="1">
      <c r="A150" s="240"/>
      <c r="B150" s="242" t="s">
        <v>473</v>
      </c>
      <c r="C150" s="245"/>
      <c r="D150" s="219"/>
      <c r="E150" s="220">
        <v>28.4</v>
      </c>
      <c r="F150" s="220"/>
      <c r="G150" s="220"/>
      <c r="H150" s="220"/>
      <c r="I150" s="220">
        <f t="shared" si="6"/>
        <v>28.4</v>
      </c>
      <c r="J150" s="280" t="s">
        <v>1168</v>
      </c>
      <c r="K150" s="281"/>
      <c r="L150" s="281"/>
    </row>
    <row r="151" spans="1:12" outlineLevel="1">
      <c r="A151" s="240"/>
      <c r="B151" s="242" t="s">
        <v>422</v>
      </c>
      <c r="C151" s="245"/>
      <c r="D151" s="219"/>
      <c r="E151" s="220">
        <v>8.1199999999999992</v>
      </c>
      <c r="F151" s="220"/>
      <c r="G151" s="220"/>
      <c r="H151" s="220"/>
      <c r="I151" s="220">
        <f t="shared" si="6"/>
        <v>8.1199999999999992</v>
      </c>
      <c r="J151" s="280"/>
      <c r="K151" s="281"/>
      <c r="L151" s="281"/>
    </row>
    <row r="152" spans="1:12" outlineLevel="1">
      <c r="A152" s="240"/>
      <c r="B152" s="242" t="s">
        <v>431</v>
      </c>
      <c r="C152" s="245"/>
      <c r="D152" s="219"/>
      <c r="E152" s="220">
        <v>27.49</v>
      </c>
      <c r="F152" s="220"/>
      <c r="G152" s="220"/>
      <c r="H152" s="220"/>
      <c r="I152" s="220">
        <f t="shared" si="6"/>
        <v>27.49</v>
      </c>
      <c r="J152" s="280"/>
      <c r="K152" s="281"/>
      <c r="L152" s="281"/>
    </row>
    <row r="153" spans="1:12" outlineLevel="1">
      <c r="A153" s="240"/>
      <c r="B153" s="242" t="s">
        <v>423</v>
      </c>
      <c r="C153" s="245"/>
      <c r="D153" s="219"/>
      <c r="E153" s="220">
        <v>1.57</v>
      </c>
      <c r="F153" s="220"/>
      <c r="G153" s="220"/>
      <c r="H153" s="220"/>
      <c r="I153" s="220">
        <f t="shared" si="6"/>
        <v>1.57</v>
      </c>
      <c r="J153" s="280" t="s">
        <v>1168</v>
      </c>
      <c r="K153" s="281"/>
      <c r="L153" s="281"/>
    </row>
    <row r="154" spans="1:12" outlineLevel="1">
      <c r="A154" s="240"/>
      <c r="B154" s="242" t="s">
        <v>424</v>
      </c>
      <c r="C154" s="245"/>
      <c r="D154" s="219"/>
      <c r="E154" s="220">
        <v>1.57</v>
      </c>
      <c r="F154" s="220"/>
      <c r="G154" s="220"/>
      <c r="H154" s="220"/>
      <c r="I154" s="220">
        <f t="shared" si="6"/>
        <v>1.57</v>
      </c>
      <c r="J154" s="280"/>
      <c r="K154" s="281"/>
      <c r="L154" s="281"/>
    </row>
    <row r="155" spans="1:12" outlineLevel="1">
      <c r="A155" s="240"/>
      <c r="B155" s="242" t="s">
        <v>429</v>
      </c>
      <c r="C155" s="245"/>
      <c r="D155" s="219"/>
      <c r="E155" s="220">
        <v>3.07</v>
      </c>
      <c r="F155" s="220"/>
      <c r="G155" s="220"/>
      <c r="H155" s="220"/>
      <c r="I155" s="220">
        <f t="shared" si="6"/>
        <v>3.07</v>
      </c>
      <c r="J155" s="280"/>
      <c r="K155" s="281"/>
      <c r="L155" s="281"/>
    </row>
    <row r="156" spans="1:12" outlineLevel="1">
      <c r="A156" s="252"/>
      <c r="B156" s="253"/>
      <c r="C156" s="254"/>
      <c r="D156" s="255"/>
      <c r="E156" s="256"/>
      <c r="F156" s="256"/>
      <c r="G156" s="256"/>
      <c r="H156" s="256"/>
      <c r="I156" s="256"/>
      <c r="J156" s="280" t="s">
        <v>1168</v>
      </c>
      <c r="K156" s="281"/>
      <c r="L156" s="281"/>
    </row>
    <row r="157" spans="1:12" outlineLevel="1">
      <c r="A157" s="247" t="s">
        <v>304</v>
      </c>
      <c r="B157" s="239" t="s">
        <v>465</v>
      </c>
      <c r="C157" s="248" t="s">
        <v>4</v>
      </c>
      <c r="D157" s="213"/>
      <c r="E157" s="249"/>
      <c r="F157" s="214"/>
      <c r="G157" s="249"/>
      <c r="H157" s="214"/>
      <c r="I157" s="250">
        <f>SUM(I158:I185)</f>
        <v>288.14999999999998</v>
      </c>
      <c r="J157" s="280"/>
      <c r="K157" s="281"/>
      <c r="L157" s="281"/>
    </row>
    <row r="158" spans="1:12" outlineLevel="1">
      <c r="A158" s="240"/>
      <c r="B158" s="241" t="s">
        <v>411</v>
      </c>
      <c r="C158" s="218"/>
      <c r="D158" s="219"/>
      <c r="E158" s="220"/>
      <c r="F158" s="220"/>
      <c r="G158" s="220"/>
      <c r="H158" s="220"/>
      <c r="I158" s="220"/>
      <c r="J158" s="280"/>
      <c r="K158" s="281"/>
      <c r="L158" s="281"/>
    </row>
    <row r="159" spans="1:12" outlineLevel="1">
      <c r="A159" s="240"/>
      <c r="B159" s="242" t="s">
        <v>418</v>
      </c>
      <c r="C159" s="218"/>
      <c r="D159" s="219"/>
      <c r="E159" s="220">
        <v>13.36</v>
      </c>
      <c r="F159" s="220"/>
      <c r="G159" s="220"/>
      <c r="H159" s="220"/>
      <c r="I159" s="220">
        <f>E159</f>
        <v>13.36</v>
      </c>
      <c r="J159" s="280" t="s">
        <v>1168</v>
      </c>
      <c r="K159" s="281"/>
      <c r="L159" s="281"/>
    </row>
    <row r="160" spans="1:12" outlineLevel="1">
      <c r="A160" s="240"/>
      <c r="B160" s="242" t="s">
        <v>426</v>
      </c>
      <c r="C160" s="218"/>
      <c r="D160" s="219"/>
      <c r="E160" s="220">
        <v>14.95</v>
      </c>
      <c r="F160" s="220"/>
      <c r="G160" s="220"/>
      <c r="H160" s="220"/>
      <c r="I160" s="220">
        <f t="shared" ref="I160:I166" si="7">E160</f>
        <v>14.95</v>
      </c>
      <c r="J160" s="280"/>
      <c r="K160" s="281"/>
      <c r="L160" s="281"/>
    </row>
    <row r="161" spans="1:12" outlineLevel="1">
      <c r="A161" s="240"/>
      <c r="B161" s="242" t="s">
        <v>419</v>
      </c>
      <c r="C161" s="218"/>
      <c r="D161" s="219"/>
      <c r="E161" s="220">
        <v>12.21</v>
      </c>
      <c r="F161" s="220"/>
      <c r="G161" s="220"/>
      <c r="H161" s="220"/>
      <c r="I161" s="220">
        <f t="shared" si="7"/>
        <v>12.21</v>
      </c>
      <c r="J161" s="280"/>
      <c r="K161" s="281"/>
      <c r="L161" s="281"/>
    </row>
    <row r="162" spans="1:12" outlineLevel="1">
      <c r="A162" s="240"/>
      <c r="B162" s="242" t="s">
        <v>427</v>
      </c>
      <c r="C162" s="218"/>
      <c r="D162" s="219"/>
      <c r="E162" s="220">
        <v>5.84</v>
      </c>
      <c r="F162" s="220"/>
      <c r="G162" s="220"/>
      <c r="H162" s="220"/>
      <c r="I162" s="220">
        <f t="shared" si="7"/>
        <v>5.84</v>
      </c>
      <c r="J162" s="280" t="s">
        <v>1168</v>
      </c>
      <c r="K162" s="281"/>
      <c r="L162" s="281"/>
    </row>
    <row r="163" spans="1:12" outlineLevel="1">
      <c r="A163" s="240"/>
      <c r="B163" s="242" t="s">
        <v>420</v>
      </c>
      <c r="C163" s="218"/>
      <c r="D163" s="219"/>
      <c r="E163" s="220">
        <v>4.8899999999999997</v>
      </c>
      <c r="F163" s="220"/>
      <c r="G163" s="220"/>
      <c r="H163" s="220"/>
      <c r="I163" s="220">
        <f t="shared" si="7"/>
        <v>4.8899999999999997</v>
      </c>
      <c r="J163" s="280"/>
      <c r="K163" s="281"/>
      <c r="L163" s="281"/>
    </row>
    <row r="164" spans="1:12" outlineLevel="1">
      <c r="A164" s="240"/>
      <c r="B164" s="242" t="s">
        <v>420</v>
      </c>
      <c r="C164" s="218"/>
      <c r="D164" s="219"/>
      <c r="E164" s="220">
        <v>7.84</v>
      </c>
      <c r="F164" s="220"/>
      <c r="G164" s="220"/>
      <c r="H164" s="220"/>
      <c r="I164" s="220">
        <f t="shared" si="7"/>
        <v>7.84</v>
      </c>
      <c r="J164" s="280"/>
      <c r="K164" s="281"/>
      <c r="L164" s="281"/>
    </row>
    <row r="165" spans="1:12" outlineLevel="1">
      <c r="A165" s="240"/>
      <c r="B165" s="242" t="s">
        <v>422</v>
      </c>
      <c r="C165" s="218"/>
      <c r="D165" s="219"/>
      <c r="E165" s="220">
        <v>16.100000000000001</v>
      </c>
      <c r="F165" s="220"/>
      <c r="G165" s="220"/>
      <c r="H165" s="220"/>
      <c r="I165" s="220">
        <f t="shared" si="7"/>
        <v>16.100000000000001</v>
      </c>
      <c r="J165" s="280" t="s">
        <v>1168</v>
      </c>
      <c r="K165" s="281"/>
      <c r="L165" s="281"/>
    </row>
    <row r="166" spans="1:12" outlineLevel="1">
      <c r="A166" s="240"/>
      <c r="B166" s="242" t="s">
        <v>482</v>
      </c>
      <c r="C166" s="218"/>
      <c r="D166" s="219"/>
      <c r="E166" s="220">
        <v>41.47</v>
      </c>
      <c r="F166" s="220"/>
      <c r="G166" s="220"/>
      <c r="H166" s="220"/>
      <c r="I166" s="220">
        <f t="shared" si="7"/>
        <v>41.47</v>
      </c>
      <c r="J166" s="280"/>
      <c r="K166" s="281"/>
      <c r="L166" s="281"/>
    </row>
    <row r="167" spans="1:12" outlineLevel="1">
      <c r="A167" s="240"/>
      <c r="B167" s="241" t="s">
        <v>413</v>
      </c>
      <c r="C167" s="218"/>
      <c r="D167" s="219"/>
      <c r="E167" s="220"/>
      <c r="F167" s="220"/>
      <c r="G167" s="220"/>
      <c r="H167" s="220"/>
      <c r="I167" s="220"/>
      <c r="J167" s="280"/>
      <c r="K167" s="281"/>
      <c r="L167" s="281"/>
    </row>
    <row r="168" spans="1:12" outlineLevel="1">
      <c r="A168" s="240"/>
      <c r="B168" s="242" t="s">
        <v>163</v>
      </c>
      <c r="C168" s="218"/>
      <c r="D168" s="219"/>
      <c r="E168" s="220">
        <v>10.039999999999999</v>
      </c>
      <c r="F168" s="220"/>
      <c r="G168" s="220"/>
      <c r="H168" s="220"/>
      <c r="I168" s="220">
        <f t="shared" ref="I168:I175" si="8">E168</f>
        <v>10.039999999999999</v>
      </c>
      <c r="J168" s="280" t="s">
        <v>1168</v>
      </c>
      <c r="K168" s="281"/>
      <c r="L168" s="281"/>
    </row>
    <row r="169" spans="1:12" outlineLevel="1">
      <c r="A169" s="240"/>
      <c r="B169" s="242" t="s">
        <v>425</v>
      </c>
      <c r="C169" s="218"/>
      <c r="D169" s="219"/>
      <c r="E169" s="220">
        <v>3.25</v>
      </c>
      <c r="F169" s="220"/>
      <c r="G169" s="220"/>
      <c r="H169" s="220"/>
      <c r="I169" s="220">
        <f t="shared" si="8"/>
        <v>3.25</v>
      </c>
      <c r="J169" s="280"/>
      <c r="K169" s="281"/>
      <c r="L169" s="281"/>
    </row>
    <row r="170" spans="1:12" outlineLevel="1">
      <c r="A170" s="240"/>
      <c r="B170" s="242" t="s">
        <v>428</v>
      </c>
      <c r="C170" s="218"/>
      <c r="D170" s="219"/>
      <c r="E170" s="220">
        <v>28.49</v>
      </c>
      <c r="F170" s="220"/>
      <c r="G170" s="220"/>
      <c r="H170" s="220"/>
      <c r="I170" s="220">
        <f t="shared" si="8"/>
        <v>28.49</v>
      </c>
      <c r="J170" s="280"/>
      <c r="K170" s="281"/>
      <c r="L170" s="281"/>
    </row>
    <row r="171" spans="1:12" outlineLevel="1">
      <c r="A171" s="240"/>
      <c r="B171" s="242" t="s">
        <v>421</v>
      </c>
      <c r="C171" s="245"/>
      <c r="D171" s="219"/>
      <c r="E171" s="220">
        <v>11.28</v>
      </c>
      <c r="F171" s="220"/>
      <c r="G171" s="220"/>
      <c r="H171" s="220"/>
      <c r="I171" s="220">
        <f t="shared" si="8"/>
        <v>11.28</v>
      </c>
      <c r="J171" s="280" t="s">
        <v>1168</v>
      </c>
      <c r="K171" s="281"/>
      <c r="L171" s="281"/>
    </row>
    <row r="172" spans="1:12" outlineLevel="1">
      <c r="A172" s="240"/>
      <c r="B172" s="242" t="s">
        <v>420</v>
      </c>
      <c r="C172" s="245"/>
      <c r="D172" s="219"/>
      <c r="E172" s="220">
        <v>27.38</v>
      </c>
      <c r="F172" s="220"/>
      <c r="G172" s="220"/>
      <c r="H172" s="220"/>
      <c r="I172" s="220">
        <f t="shared" si="8"/>
        <v>27.38</v>
      </c>
      <c r="J172" s="280"/>
      <c r="K172" s="281"/>
      <c r="L172" s="281"/>
    </row>
    <row r="173" spans="1:12" outlineLevel="1">
      <c r="A173" s="240"/>
      <c r="B173" s="242" t="s">
        <v>423</v>
      </c>
      <c r="C173" s="245"/>
      <c r="D173" s="219"/>
      <c r="E173" s="220">
        <v>1.57</v>
      </c>
      <c r="F173" s="220"/>
      <c r="G173" s="220"/>
      <c r="H173" s="220"/>
      <c r="I173" s="220">
        <f t="shared" si="8"/>
        <v>1.57</v>
      </c>
      <c r="J173" s="280"/>
      <c r="K173" s="281"/>
      <c r="L173" s="281"/>
    </row>
    <row r="174" spans="1:12" outlineLevel="1">
      <c r="A174" s="240"/>
      <c r="B174" s="242" t="s">
        <v>424</v>
      </c>
      <c r="C174" s="245"/>
      <c r="D174" s="219"/>
      <c r="E174" s="220">
        <v>1.57</v>
      </c>
      <c r="F174" s="220"/>
      <c r="G174" s="220"/>
      <c r="H174" s="220"/>
      <c r="I174" s="220">
        <f t="shared" si="8"/>
        <v>1.57</v>
      </c>
      <c r="J174" s="280" t="s">
        <v>1168</v>
      </c>
      <c r="K174" s="281"/>
      <c r="L174" s="281"/>
    </row>
    <row r="175" spans="1:12" outlineLevel="1">
      <c r="A175" s="240"/>
      <c r="B175" s="242" t="s">
        <v>429</v>
      </c>
      <c r="C175" s="245"/>
      <c r="D175" s="219"/>
      <c r="E175" s="220">
        <v>3.16</v>
      </c>
      <c r="F175" s="220"/>
      <c r="G175" s="220"/>
      <c r="H175" s="220"/>
      <c r="I175" s="220">
        <f t="shared" si="8"/>
        <v>3.16</v>
      </c>
      <c r="J175" s="280"/>
      <c r="K175" s="281"/>
      <c r="L175" s="281"/>
    </row>
    <row r="176" spans="1:12" outlineLevel="1">
      <c r="A176" s="240"/>
      <c r="B176" s="241" t="s">
        <v>414</v>
      </c>
      <c r="C176" s="245"/>
      <c r="D176" s="246"/>
      <c r="E176" s="251"/>
      <c r="F176" s="251"/>
      <c r="G176" s="251"/>
      <c r="H176" s="251"/>
      <c r="I176" s="251"/>
      <c r="J176" s="280"/>
      <c r="K176" s="281"/>
      <c r="L176" s="281"/>
    </row>
    <row r="177" spans="1:12" outlineLevel="1">
      <c r="A177" s="240"/>
      <c r="B177" s="242" t="s">
        <v>420</v>
      </c>
      <c r="C177" s="245"/>
      <c r="D177" s="219"/>
      <c r="E177" s="220">
        <v>7.34</v>
      </c>
      <c r="F177" s="220"/>
      <c r="G177" s="220"/>
      <c r="H177" s="220"/>
      <c r="I177" s="220">
        <f t="shared" ref="I177:I184" si="9">E177</f>
        <v>7.34</v>
      </c>
      <c r="J177" s="280" t="s">
        <v>1168</v>
      </c>
      <c r="K177" s="281"/>
      <c r="L177" s="281"/>
    </row>
    <row r="178" spans="1:12" outlineLevel="1">
      <c r="A178" s="240"/>
      <c r="B178" s="242" t="s">
        <v>420</v>
      </c>
      <c r="C178" s="245"/>
      <c r="D178" s="219"/>
      <c r="E178" s="220">
        <v>7.19</v>
      </c>
      <c r="F178" s="220"/>
      <c r="G178" s="220"/>
      <c r="H178" s="220"/>
      <c r="I178" s="220">
        <f t="shared" si="9"/>
        <v>7.19</v>
      </c>
      <c r="J178" s="280"/>
      <c r="K178" s="281"/>
      <c r="L178" s="281"/>
    </row>
    <row r="179" spans="1:12" outlineLevel="1">
      <c r="A179" s="240"/>
      <c r="B179" s="242" t="s">
        <v>473</v>
      </c>
      <c r="C179" s="245"/>
      <c r="D179" s="219"/>
      <c r="E179" s="220">
        <v>28.4</v>
      </c>
      <c r="F179" s="220"/>
      <c r="G179" s="220"/>
      <c r="H179" s="220"/>
      <c r="I179" s="220">
        <f t="shared" si="9"/>
        <v>28.4</v>
      </c>
      <c r="J179" s="280"/>
      <c r="K179" s="281"/>
      <c r="L179" s="281"/>
    </row>
    <row r="180" spans="1:12" outlineLevel="1">
      <c r="A180" s="240"/>
      <c r="B180" s="242" t="s">
        <v>422</v>
      </c>
      <c r="C180" s="245"/>
      <c r="D180" s="219"/>
      <c r="E180" s="220">
        <v>8.1199999999999992</v>
      </c>
      <c r="F180" s="220"/>
      <c r="G180" s="220"/>
      <c r="H180" s="220"/>
      <c r="I180" s="220">
        <f t="shared" si="9"/>
        <v>8.1199999999999992</v>
      </c>
      <c r="J180" s="280" t="s">
        <v>1168</v>
      </c>
      <c r="K180" s="281"/>
      <c r="L180" s="281"/>
    </row>
    <row r="181" spans="1:12" outlineLevel="1">
      <c r="A181" s="240"/>
      <c r="B181" s="242" t="s">
        <v>431</v>
      </c>
      <c r="C181" s="245"/>
      <c r="D181" s="219"/>
      <c r="E181" s="220">
        <v>27.49</v>
      </c>
      <c r="F181" s="220"/>
      <c r="G181" s="220"/>
      <c r="H181" s="220"/>
      <c r="I181" s="220">
        <f t="shared" si="9"/>
        <v>27.49</v>
      </c>
      <c r="J181" s="280"/>
      <c r="K181" s="281"/>
      <c r="L181" s="281"/>
    </row>
    <row r="182" spans="1:12" outlineLevel="1">
      <c r="A182" s="240"/>
      <c r="B182" s="242" t="s">
        <v>423</v>
      </c>
      <c r="C182" s="245"/>
      <c r="D182" s="219"/>
      <c r="E182" s="220">
        <v>1.57</v>
      </c>
      <c r="F182" s="220"/>
      <c r="G182" s="220"/>
      <c r="H182" s="220"/>
      <c r="I182" s="220">
        <f t="shared" si="9"/>
        <v>1.57</v>
      </c>
      <c r="J182" s="280"/>
      <c r="K182" s="281"/>
      <c r="L182" s="281"/>
    </row>
    <row r="183" spans="1:12" outlineLevel="1">
      <c r="A183" s="240"/>
      <c r="B183" s="242" t="s">
        <v>424</v>
      </c>
      <c r="C183" s="245"/>
      <c r="D183" s="219"/>
      <c r="E183" s="220">
        <v>1.57</v>
      </c>
      <c r="F183" s="220"/>
      <c r="G183" s="220"/>
      <c r="H183" s="220"/>
      <c r="I183" s="220">
        <f t="shared" si="9"/>
        <v>1.57</v>
      </c>
      <c r="J183" s="280" t="s">
        <v>1168</v>
      </c>
      <c r="K183" s="281"/>
      <c r="L183" s="281"/>
    </row>
    <row r="184" spans="1:12" outlineLevel="1">
      <c r="A184" s="240"/>
      <c r="B184" s="242" t="s">
        <v>429</v>
      </c>
      <c r="C184" s="245"/>
      <c r="D184" s="219"/>
      <c r="E184" s="220">
        <v>3.07</v>
      </c>
      <c r="F184" s="220"/>
      <c r="G184" s="220"/>
      <c r="H184" s="220"/>
      <c r="I184" s="220">
        <f t="shared" si="9"/>
        <v>3.07</v>
      </c>
      <c r="J184" s="280"/>
      <c r="K184" s="281"/>
      <c r="L184" s="281"/>
    </row>
    <row r="185" spans="1:12" outlineLevel="1">
      <c r="A185" s="252"/>
      <c r="B185" s="253"/>
      <c r="C185" s="254"/>
      <c r="D185" s="255"/>
      <c r="E185" s="256"/>
      <c r="F185" s="256"/>
      <c r="G185" s="256"/>
      <c r="H185" s="256"/>
      <c r="I185" s="256"/>
      <c r="J185" s="280"/>
      <c r="K185" s="281"/>
      <c r="L185" s="281"/>
    </row>
    <row r="186" spans="1:12" outlineLevel="1">
      <c r="A186" s="257" t="s">
        <v>186</v>
      </c>
      <c r="B186" s="189" t="s">
        <v>474</v>
      </c>
      <c r="C186" s="233"/>
      <c r="D186" s="234"/>
      <c r="E186" s="235"/>
      <c r="F186" s="235"/>
      <c r="G186" s="235"/>
      <c r="H186" s="235"/>
      <c r="I186" s="236"/>
      <c r="J186" s="280" t="s">
        <v>1168</v>
      </c>
      <c r="K186" s="281"/>
      <c r="L186" s="281"/>
    </row>
    <row r="187" spans="1:12" ht="31.5" outlineLevel="1">
      <c r="A187" s="247" t="s">
        <v>187</v>
      </c>
      <c r="B187" s="239" t="s">
        <v>888</v>
      </c>
      <c r="C187" s="260" t="s">
        <v>4</v>
      </c>
      <c r="D187" s="213"/>
      <c r="E187" s="249"/>
      <c r="F187" s="214"/>
      <c r="G187" s="249"/>
      <c r="H187" s="214"/>
      <c r="I187" s="250">
        <f>SUM(I188:I196)</f>
        <v>12.510000000000002</v>
      </c>
      <c r="J187" s="280"/>
      <c r="K187" s="281"/>
      <c r="L187" s="281"/>
    </row>
    <row r="188" spans="1:12" outlineLevel="1">
      <c r="A188" s="240"/>
      <c r="B188" s="241" t="s">
        <v>413</v>
      </c>
      <c r="C188" s="245"/>
      <c r="D188" s="219"/>
      <c r="E188" s="220"/>
      <c r="F188" s="220"/>
      <c r="G188" s="220"/>
      <c r="H188" s="220"/>
      <c r="I188" s="220"/>
      <c r="J188" s="280"/>
      <c r="K188" s="281"/>
      <c r="L188" s="281"/>
    </row>
    <row r="189" spans="1:12" outlineLevel="1">
      <c r="A189" s="240"/>
      <c r="B189" s="242" t="s">
        <v>423</v>
      </c>
      <c r="C189" s="245"/>
      <c r="D189" s="219"/>
      <c r="E189" s="220">
        <v>1.57</v>
      </c>
      <c r="F189" s="220"/>
      <c r="G189" s="220"/>
      <c r="H189" s="220"/>
      <c r="I189" s="220">
        <f>E189</f>
        <v>1.57</v>
      </c>
      <c r="J189" s="280" t="s">
        <v>1168</v>
      </c>
      <c r="K189" s="281"/>
      <c r="L189" s="281"/>
    </row>
    <row r="190" spans="1:12" outlineLevel="1">
      <c r="A190" s="240"/>
      <c r="B190" s="242" t="s">
        <v>424</v>
      </c>
      <c r="C190" s="245"/>
      <c r="D190" s="219"/>
      <c r="E190" s="220">
        <v>1.57</v>
      </c>
      <c r="F190" s="220"/>
      <c r="G190" s="220"/>
      <c r="H190" s="220"/>
      <c r="I190" s="220">
        <f>E190</f>
        <v>1.57</v>
      </c>
      <c r="J190" s="280"/>
      <c r="K190" s="281"/>
      <c r="L190" s="281"/>
    </row>
    <row r="191" spans="1:12" outlineLevel="1">
      <c r="A191" s="240"/>
      <c r="B191" s="242" t="s">
        <v>429</v>
      </c>
      <c r="C191" s="245"/>
      <c r="D191" s="219"/>
      <c r="E191" s="220">
        <v>3.16</v>
      </c>
      <c r="F191" s="220"/>
      <c r="G191" s="220"/>
      <c r="H191" s="220"/>
      <c r="I191" s="220">
        <f>E191</f>
        <v>3.16</v>
      </c>
      <c r="J191" s="280"/>
      <c r="K191" s="281"/>
      <c r="L191" s="281"/>
    </row>
    <row r="192" spans="1:12" outlineLevel="1">
      <c r="A192" s="240"/>
      <c r="B192" s="241" t="s">
        <v>414</v>
      </c>
      <c r="C192" s="245"/>
      <c r="D192" s="219"/>
      <c r="E192" s="220"/>
      <c r="F192" s="220"/>
      <c r="G192" s="220"/>
      <c r="H192" s="220"/>
      <c r="I192" s="220"/>
      <c r="J192" s="280" t="s">
        <v>1168</v>
      </c>
      <c r="K192" s="281"/>
      <c r="L192" s="281"/>
    </row>
    <row r="193" spans="1:13" outlineLevel="1">
      <c r="A193" s="240"/>
      <c r="B193" s="242" t="s">
        <v>423</v>
      </c>
      <c r="C193" s="245"/>
      <c r="D193" s="219"/>
      <c r="E193" s="220">
        <v>1.57</v>
      </c>
      <c r="F193" s="220"/>
      <c r="G193" s="220"/>
      <c r="H193" s="220"/>
      <c r="I193" s="220">
        <f>E193</f>
        <v>1.57</v>
      </c>
      <c r="J193" s="280"/>
      <c r="K193" s="281"/>
      <c r="L193" s="281"/>
    </row>
    <row r="194" spans="1:13" outlineLevel="1">
      <c r="A194" s="240"/>
      <c r="B194" s="242" t="s">
        <v>424</v>
      </c>
      <c r="C194" s="245"/>
      <c r="D194" s="219"/>
      <c r="E194" s="220">
        <v>1.57</v>
      </c>
      <c r="F194" s="220"/>
      <c r="G194" s="220"/>
      <c r="H194" s="220"/>
      <c r="I194" s="220">
        <f>E194</f>
        <v>1.57</v>
      </c>
      <c r="J194" s="280"/>
      <c r="K194" s="281"/>
      <c r="L194" s="281"/>
    </row>
    <row r="195" spans="1:13" outlineLevel="1">
      <c r="A195" s="240"/>
      <c r="B195" s="242" t="s">
        <v>429</v>
      </c>
      <c r="C195" s="245"/>
      <c r="D195" s="219"/>
      <c r="E195" s="220">
        <v>3.07</v>
      </c>
      <c r="F195" s="220"/>
      <c r="G195" s="220"/>
      <c r="H195" s="220"/>
      <c r="I195" s="220">
        <f>E195</f>
        <v>3.07</v>
      </c>
      <c r="J195" s="280" t="s">
        <v>1168</v>
      </c>
      <c r="K195" s="281"/>
      <c r="L195" s="281"/>
    </row>
    <row r="196" spans="1:13" outlineLevel="1">
      <c r="A196" s="252"/>
      <c r="B196" s="253"/>
      <c r="C196" s="254"/>
      <c r="D196" s="224"/>
      <c r="E196" s="225"/>
      <c r="F196" s="225"/>
      <c r="G196" s="225"/>
      <c r="H196" s="225"/>
      <c r="I196" s="225"/>
      <c r="J196" s="280"/>
      <c r="K196" s="281"/>
      <c r="L196" s="281"/>
    </row>
    <row r="197" spans="1:13" outlineLevel="1">
      <c r="A197" s="257" t="s">
        <v>231</v>
      </c>
      <c r="B197" s="189" t="s">
        <v>475</v>
      </c>
      <c r="C197" s="233"/>
      <c r="D197" s="234"/>
      <c r="E197" s="235"/>
      <c r="F197" s="235"/>
      <c r="G197" s="235"/>
      <c r="H197" s="235"/>
      <c r="I197" s="236"/>
      <c r="J197" s="280"/>
      <c r="K197" s="281"/>
      <c r="L197" s="281"/>
    </row>
    <row r="198" spans="1:13" ht="31.5" outlineLevel="1">
      <c r="A198" s="247" t="s">
        <v>233</v>
      </c>
      <c r="B198" s="239" t="s">
        <v>476</v>
      </c>
      <c r="C198" s="260" t="s">
        <v>4</v>
      </c>
      <c r="D198" s="213"/>
      <c r="E198" s="249"/>
      <c r="F198" s="214"/>
      <c r="G198" s="249"/>
      <c r="H198" s="214"/>
      <c r="I198" s="250">
        <f>SUM(I199:I220)</f>
        <v>275.64</v>
      </c>
      <c r="J198" s="280" t="s">
        <v>1168</v>
      </c>
      <c r="K198" s="281"/>
      <c r="L198" s="281"/>
    </row>
    <row r="199" spans="1:13" outlineLevel="1">
      <c r="A199" s="240"/>
      <c r="B199" s="241" t="s">
        <v>411</v>
      </c>
      <c r="C199" s="245"/>
      <c r="D199" s="219"/>
      <c r="E199" s="220"/>
      <c r="F199" s="220"/>
      <c r="G199" s="220"/>
      <c r="H199" s="220"/>
      <c r="I199" s="220"/>
      <c r="J199" s="280"/>
      <c r="K199" s="281"/>
      <c r="L199" s="281"/>
    </row>
    <row r="200" spans="1:13" outlineLevel="1">
      <c r="A200" s="240"/>
      <c r="B200" s="242" t="s">
        <v>418</v>
      </c>
      <c r="C200" s="245"/>
      <c r="D200" s="219"/>
      <c r="E200" s="220">
        <v>13.36</v>
      </c>
      <c r="F200" s="220"/>
      <c r="G200" s="220"/>
      <c r="H200" s="220"/>
      <c r="I200" s="220">
        <f>E200</f>
        <v>13.36</v>
      </c>
      <c r="J200" s="280"/>
      <c r="K200" s="281"/>
      <c r="L200" s="281"/>
    </row>
    <row r="201" spans="1:13" outlineLevel="1">
      <c r="A201" s="240"/>
      <c r="B201" s="242" t="s">
        <v>426</v>
      </c>
      <c r="C201" s="245"/>
      <c r="D201" s="219"/>
      <c r="E201" s="220">
        <v>14.95</v>
      </c>
      <c r="F201" s="220"/>
      <c r="G201" s="220"/>
      <c r="H201" s="220"/>
      <c r="I201" s="220">
        <f t="shared" ref="I201:I207" si="10">E201</f>
        <v>14.95</v>
      </c>
      <c r="J201" s="280" t="s">
        <v>1168</v>
      </c>
      <c r="K201" s="281"/>
      <c r="L201" s="281"/>
    </row>
    <row r="202" spans="1:13" outlineLevel="1">
      <c r="A202" s="240"/>
      <c r="B202" s="242" t="s">
        <v>419</v>
      </c>
      <c r="C202" s="245"/>
      <c r="D202" s="219"/>
      <c r="E202" s="220">
        <v>12.21</v>
      </c>
      <c r="F202" s="220"/>
      <c r="G202" s="220"/>
      <c r="H202" s="220"/>
      <c r="I202" s="220">
        <f t="shared" si="10"/>
        <v>12.21</v>
      </c>
      <c r="J202" s="280"/>
      <c r="K202" s="281"/>
      <c r="L202" s="281"/>
    </row>
    <row r="203" spans="1:13" outlineLevel="1">
      <c r="A203" s="240"/>
      <c r="B203" s="242" t="s">
        <v>427</v>
      </c>
      <c r="C203" s="245"/>
      <c r="D203" s="219"/>
      <c r="E203" s="220">
        <v>5.84</v>
      </c>
      <c r="F203" s="220"/>
      <c r="G203" s="220"/>
      <c r="H203" s="220"/>
      <c r="I203" s="220">
        <f t="shared" si="10"/>
        <v>5.84</v>
      </c>
      <c r="J203" s="280"/>
      <c r="K203" s="281"/>
      <c r="L203" s="281"/>
    </row>
    <row r="204" spans="1:13" outlineLevel="1">
      <c r="A204" s="240"/>
      <c r="B204" s="242" t="s">
        <v>420</v>
      </c>
      <c r="C204" s="245"/>
      <c r="D204" s="219"/>
      <c r="E204" s="220">
        <v>4.8899999999999997</v>
      </c>
      <c r="F204" s="220"/>
      <c r="G204" s="220"/>
      <c r="H204" s="220"/>
      <c r="I204" s="220">
        <f t="shared" si="10"/>
        <v>4.8899999999999997</v>
      </c>
      <c r="J204" s="280" t="s">
        <v>1168</v>
      </c>
      <c r="K204" s="281"/>
      <c r="L204" s="281"/>
    </row>
    <row r="205" spans="1:13" outlineLevel="1">
      <c r="A205" s="240"/>
      <c r="B205" s="242" t="s">
        <v>420</v>
      </c>
      <c r="C205" s="245"/>
      <c r="D205" s="219"/>
      <c r="E205" s="220">
        <v>7.84</v>
      </c>
      <c r="F205" s="220"/>
      <c r="G205" s="220"/>
      <c r="H205" s="220"/>
      <c r="I205" s="220">
        <f t="shared" si="10"/>
        <v>7.84</v>
      </c>
      <c r="J205" s="280"/>
      <c r="K205" s="281"/>
      <c r="L205" s="281"/>
    </row>
    <row r="206" spans="1:13" outlineLevel="1">
      <c r="A206" s="240"/>
      <c r="B206" s="242" t="s">
        <v>422</v>
      </c>
      <c r="C206" s="245"/>
      <c r="D206" s="219"/>
      <c r="E206" s="220">
        <v>16.100000000000001</v>
      </c>
      <c r="F206" s="220"/>
      <c r="G206" s="220"/>
      <c r="H206" s="220"/>
      <c r="I206" s="220">
        <f t="shared" si="10"/>
        <v>16.100000000000001</v>
      </c>
      <c r="J206" s="280"/>
      <c r="K206" s="281"/>
      <c r="L206" s="281"/>
    </row>
    <row r="207" spans="1:13" outlineLevel="1">
      <c r="A207" s="240"/>
      <c r="B207" s="242" t="s">
        <v>482</v>
      </c>
      <c r="C207" s="218"/>
      <c r="D207" s="219"/>
      <c r="E207" s="220">
        <v>41.47</v>
      </c>
      <c r="F207" s="220"/>
      <c r="G207" s="220"/>
      <c r="H207" s="220"/>
      <c r="I207" s="220">
        <f t="shared" si="10"/>
        <v>41.47</v>
      </c>
      <c r="J207" s="280" t="s">
        <v>1168</v>
      </c>
      <c r="K207" s="281"/>
      <c r="L207" s="281"/>
    </row>
    <row r="208" spans="1:13" outlineLevel="1">
      <c r="A208" s="240"/>
      <c r="B208" s="241" t="s">
        <v>413</v>
      </c>
      <c r="C208" s="245"/>
      <c r="D208" s="219"/>
      <c r="E208" s="220"/>
      <c r="F208" s="220"/>
      <c r="G208" s="220"/>
      <c r="H208" s="220"/>
      <c r="I208" s="220"/>
      <c r="J208" s="280"/>
      <c r="K208" s="281"/>
      <c r="L208" s="281"/>
      <c r="M208" s="26"/>
    </row>
    <row r="209" spans="1:13" outlineLevel="1">
      <c r="A209" s="240"/>
      <c r="B209" s="242" t="s">
        <v>163</v>
      </c>
      <c r="C209" s="245"/>
      <c r="D209" s="219"/>
      <c r="E209" s="220">
        <v>10.039999999999999</v>
      </c>
      <c r="F209" s="220"/>
      <c r="G209" s="220"/>
      <c r="H209" s="220"/>
      <c r="I209" s="220">
        <f>E209</f>
        <v>10.039999999999999</v>
      </c>
      <c r="J209" s="280"/>
      <c r="K209" s="281"/>
      <c r="L209" s="281"/>
      <c r="M209" s="26"/>
    </row>
    <row r="210" spans="1:13" outlineLevel="1">
      <c r="A210" s="240"/>
      <c r="B210" s="242" t="s">
        <v>425</v>
      </c>
      <c r="C210" s="245"/>
      <c r="D210" s="219"/>
      <c r="E210" s="220">
        <v>3.25</v>
      </c>
      <c r="F210" s="220"/>
      <c r="G210" s="220"/>
      <c r="H210" s="220"/>
      <c r="I210" s="220">
        <f>E210</f>
        <v>3.25</v>
      </c>
      <c r="J210" s="280" t="s">
        <v>1168</v>
      </c>
      <c r="K210" s="281"/>
      <c r="L210" s="281"/>
      <c r="M210" s="26"/>
    </row>
    <row r="211" spans="1:13" outlineLevel="1">
      <c r="A211" s="240"/>
      <c r="B211" s="242" t="s">
        <v>428</v>
      </c>
      <c r="C211" s="245"/>
      <c r="D211" s="219"/>
      <c r="E211" s="220">
        <v>28.49</v>
      </c>
      <c r="F211" s="220"/>
      <c r="G211" s="220"/>
      <c r="H211" s="220"/>
      <c r="I211" s="220">
        <f>E211</f>
        <v>28.49</v>
      </c>
      <c r="J211" s="280"/>
      <c r="K211" s="281"/>
      <c r="L211" s="281"/>
      <c r="M211" s="26"/>
    </row>
    <row r="212" spans="1:13" outlineLevel="1">
      <c r="A212" s="240"/>
      <c r="B212" s="242" t="s">
        <v>421</v>
      </c>
      <c r="C212" s="245"/>
      <c r="D212" s="219"/>
      <c r="E212" s="220">
        <v>11.28</v>
      </c>
      <c r="F212" s="220"/>
      <c r="G212" s="220"/>
      <c r="H212" s="220"/>
      <c r="I212" s="220">
        <f>E212</f>
        <v>11.28</v>
      </c>
      <c r="J212" s="280"/>
      <c r="K212" s="281"/>
      <c r="L212" s="281"/>
      <c r="M212" s="26"/>
    </row>
    <row r="213" spans="1:13" outlineLevel="1">
      <c r="A213" s="240"/>
      <c r="B213" s="242" t="s">
        <v>420</v>
      </c>
      <c r="C213" s="245"/>
      <c r="D213" s="219"/>
      <c r="E213" s="220">
        <v>27.38</v>
      </c>
      <c r="F213" s="220"/>
      <c r="G213" s="220"/>
      <c r="H213" s="220"/>
      <c r="I213" s="220">
        <f>E213</f>
        <v>27.38</v>
      </c>
      <c r="J213" s="280" t="s">
        <v>1168</v>
      </c>
      <c r="K213" s="281"/>
      <c r="L213" s="281"/>
      <c r="M213" s="26"/>
    </row>
    <row r="214" spans="1:13" outlineLevel="1">
      <c r="A214" s="240"/>
      <c r="B214" s="241" t="s">
        <v>414</v>
      </c>
      <c r="C214" s="245"/>
      <c r="D214" s="219"/>
      <c r="E214" s="220"/>
      <c r="F214" s="220"/>
      <c r="G214" s="220"/>
      <c r="H214" s="220"/>
      <c r="I214" s="220"/>
      <c r="J214" s="280"/>
      <c r="K214" s="281"/>
      <c r="L214" s="281"/>
      <c r="M214" s="26"/>
    </row>
    <row r="215" spans="1:13" outlineLevel="1">
      <c r="A215" s="240"/>
      <c r="B215" s="242" t="s">
        <v>420</v>
      </c>
      <c r="C215" s="245"/>
      <c r="D215" s="219"/>
      <c r="E215" s="220">
        <v>7.34</v>
      </c>
      <c r="F215" s="220"/>
      <c r="G215" s="220"/>
      <c r="H215" s="220"/>
      <c r="I215" s="220">
        <f>E215</f>
        <v>7.34</v>
      </c>
      <c r="J215" s="280"/>
      <c r="K215" s="281"/>
      <c r="L215" s="281"/>
      <c r="M215" s="26"/>
    </row>
    <row r="216" spans="1:13" outlineLevel="1">
      <c r="A216" s="240"/>
      <c r="B216" s="242" t="s">
        <v>420</v>
      </c>
      <c r="C216" s="245"/>
      <c r="D216" s="219"/>
      <c r="E216" s="220">
        <v>7.19</v>
      </c>
      <c r="F216" s="220"/>
      <c r="G216" s="220"/>
      <c r="H216" s="220"/>
      <c r="I216" s="220">
        <f>E216</f>
        <v>7.19</v>
      </c>
      <c r="J216" s="280" t="s">
        <v>1168</v>
      </c>
      <c r="K216" s="281"/>
      <c r="L216" s="281"/>
      <c r="M216" s="26"/>
    </row>
    <row r="217" spans="1:13" outlineLevel="1">
      <c r="A217" s="240"/>
      <c r="B217" s="242" t="s">
        <v>473</v>
      </c>
      <c r="C217" s="245"/>
      <c r="D217" s="219"/>
      <c r="E217" s="220">
        <v>28.4</v>
      </c>
      <c r="F217" s="220"/>
      <c r="G217" s="220"/>
      <c r="H217" s="220"/>
      <c r="I217" s="220">
        <f>E217</f>
        <v>28.4</v>
      </c>
      <c r="J217" s="280"/>
      <c r="K217" s="281"/>
      <c r="L217" s="281"/>
      <c r="M217" s="26"/>
    </row>
    <row r="218" spans="1:13" outlineLevel="1">
      <c r="A218" s="240"/>
      <c r="B218" s="242" t="s">
        <v>422</v>
      </c>
      <c r="C218" s="245"/>
      <c r="D218" s="219"/>
      <c r="E218" s="220">
        <v>8.1199999999999992</v>
      </c>
      <c r="F218" s="220"/>
      <c r="G218" s="220"/>
      <c r="H218" s="220"/>
      <c r="I218" s="220">
        <f>E218</f>
        <v>8.1199999999999992</v>
      </c>
      <c r="J218" s="280"/>
      <c r="K218" s="281"/>
      <c r="L218" s="281"/>
      <c r="M218" s="26"/>
    </row>
    <row r="219" spans="1:13" outlineLevel="1">
      <c r="A219" s="240"/>
      <c r="B219" s="242" t="s">
        <v>431</v>
      </c>
      <c r="C219" s="245"/>
      <c r="D219" s="219"/>
      <c r="E219" s="220">
        <v>27.49</v>
      </c>
      <c r="F219" s="220"/>
      <c r="G219" s="220"/>
      <c r="H219" s="220"/>
      <c r="I219" s="220">
        <f>E219</f>
        <v>27.49</v>
      </c>
      <c r="J219" s="280" t="s">
        <v>1168</v>
      </c>
      <c r="K219" s="281"/>
      <c r="L219" s="281"/>
      <c r="M219" s="26"/>
    </row>
    <row r="220" spans="1:13" outlineLevel="1">
      <c r="A220" s="252"/>
      <c r="B220" s="253"/>
      <c r="C220" s="254"/>
      <c r="D220" s="224"/>
      <c r="E220" s="225"/>
      <c r="F220" s="225"/>
      <c r="G220" s="225"/>
      <c r="H220" s="225"/>
      <c r="I220" s="225"/>
      <c r="J220" s="280"/>
      <c r="K220" s="281"/>
      <c r="L220" s="281"/>
      <c r="M220" s="26"/>
    </row>
    <row r="221" spans="1:13" outlineLevel="1">
      <c r="A221" s="257" t="s">
        <v>235</v>
      </c>
      <c r="B221" s="189" t="s">
        <v>477</v>
      </c>
      <c r="C221" s="233"/>
      <c r="D221" s="234"/>
      <c r="E221" s="235"/>
      <c r="F221" s="235"/>
      <c r="G221" s="235"/>
      <c r="H221" s="235"/>
      <c r="I221" s="236"/>
      <c r="J221" s="280"/>
      <c r="K221" s="281"/>
      <c r="L221" s="281"/>
    </row>
    <row r="222" spans="1:13" ht="31.5" outlineLevel="1">
      <c r="A222" s="247" t="s">
        <v>236</v>
      </c>
      <c r="B222" s="239" t="s">
        <v>70</v>
      </c>
      <c r="C222" s="248" t="s">
        <v>5</v>
      </c>
      <c r="D222" s="213"/>
      <c r="E222" s="249"/>
      <c r="F222" s="214"/>
      <c r="G222" s="249"/>
      <c r="H222" s="214"/>
      <c r="I222" s="250">
        <f>SUM(I223:I250)</f>
        <v>288.14999999999998</v>
      </c>
      <c r="J222" s="280" t="s">
        <v>1168</v>
      </c>
      <c r="K222" s="281"/>
      <c r="L222" s="281"/>
    </row>
    <row r="223" spans="1:13" outlineLevel="1">
      <c r="A223" s="240"/>
      <c r="B223" s="241" t="s">
        <v>411</v>
      </c>
      <c r="C223" s="245"/>
      <c r="D223" s="219"/>
      <c r="E223" s="220"/>
      <c r="F223" s="220"/>
      <c r="G223" s="220"/>
      <c r="H223" s="220"/>
      <c r="I223" s="220"/>
      <c r="J223" s="280"/>
      <c r="K223" s="281"/>
      <c r="L223" s="281"/>
    </row>
    <row r="224" spans="1:13" outlineLevel="1">
      <c r="A224" s="240"/>
      <c r="B224" s="242" t="s">
        <v>418</v>
      </c>
      <c r="C224" s="245"/>
      <c r="D224" s="219"/>
      <c r="E224" s="220">
        <v>13.36</v>
      </c>
      <c r="F224" s="220"/>
      <c r="G224" s="220"/>
      <c r="H224" s="220"/>
      <c r="I224" s="220">
        <f>E224</f>
        <v>13.36</v>
      </c>
      <c r="J224" s="280"/>
      <c r="K224" s="281"/>
      <c r="L224" s="281"/>
    </row>
    <row r="225" spans="1:13" outlineLevel="1">
      <c r="A225" s="240"/>
      <c r="B225" s="242" t="s">
        <v>426</v>
      </c>
      <c r="C225" s="245"/>
      <c r="D225" s="219"/>
      <c r="E225" s="220">
        <v>14.95</v>
      </c>
      <c r="F225" s="220"/>
      <c r="G225" s="220"/>
      <c r="H225" s="220"/>
      <c r="I225" s="220">
        <f t="shared" ref="I225:I231" si="11">E225</f>
        <v>14.95</v>
      </c>
      <c r="J225" s="280" t="s">
        <v>1168</v>
      </c>
      <c r="K225" s="281"/>
      <c r="L225" s="281"/>
    </row>
    <row r="226" spans="1:13" outlineLevel="1">
      <c r="A226" s="240"/>
      <c r="B226" s="242" t="s">
        <v>419</v>
      </c>
      <c r="C226" s="245"/>
      <c r="D226" s="219"/>
      <c r="E226" s="220">
        <v>12.21</v>
      </c>
      <c r="F226" s="220"/>
      <c r="G226" s="220"/>
      <c r="H226" s="220"/>
      <c r="I226" s="220">
        <f t="shared" si="11"/>
        <v>12.21</v>
      </c>
      <c r="J226" s="280"/>
      <c r="K226" s="281"/>
      <c r="L226" s="281"/>
    </row>
    <row r="227" spans="1:13" outlineLevel="1">
      <c r="A227" s="240"/>
      <c r="B227" s="242" t="s">
        <v>427</v>
      </c>
      <c r="C227" s="245"/>
      <c r="D227" s="219"/>
      <c r="E227" s="220">
        <v>5.84</v>
      </c>
      <c r="F227" s="220"/>
      <c r="G227" s="220"/>
      <c r="H227" s="220"/>
      <c r="I227" s="220">
        <f t="shared" si="11"/>
        <v>5.84</v>
      </c>
      <c r="J227" s="280"/>
      <c r="K227" s="281"/>
      <c r="L227" s="281"/>
    </row>
    <row r="228" spans="1:13" outlineLevel="1">
      <c r="A228" s="240"/>
      <c r="B228" s="242" t="s">
        <v>420</v>
      </c>
      <c r="C228" s="245"/>
      <c r="D228" s="219"/>
      <c r="E228" s="220">
        <v>4.8899999999999997</v>
      </c>
      <c r="F228" s="220"/>
      <c r="G228" s="220"/>
      <c r="H228" s="220"/>
      <c r="I228" s="220">
        <f t="shared" si="11"/>
        <v>4.8899999999999997</v>
      </c>
      <c r="J228" s="280" t="s">
        <v>1168</v>
      </c>
      <c r="K228" s="281"/>
      <c r="L228" s="281"/>
    </row>
    <row r="229" spans="1:13" outlineLevel="1">
      <c r="A229" s="240"/>
      <c r="B229" s="242" t="s">
        <v>420</v>
      </c>
      <c r="C229" s="245"/>
      <c r="D229" s="219"/>
      <c r="E229" s="220">
        <v>7.84</v>
      </c>
      <c r="F229" s="220"/>
      <c r="G229" s="220"/>
      <c r="H229" s="220"/>
      <c r="I229" s="220">
        <f t="shared" si="11"/>
        <v>7.84</v>
      </c>
      <c r="J229" s="280"/>
      <c r="K229" s="281"/>
      <c r="L229" s="281"/>
    </row>
    <row r="230" spans="1:13" outlineLevel="1">
      <c r="A230" s="240"/>
      <c r="B230" s="242" t="s">
        <v>422</v>
      </c>
      <c r="C230" s="245"/>
      <c r="D230" s="219"/>
      <c r="E230" s="220">
        <v>16.100000000000001</v>
      </c>
      <c r="F230" s="220"/>
      <c r="G230" s="220"/>
      <c r="H230" s="220"/>
      <c r="I230" s="220">
        <f t="shared" si="11"/>
        <v>16.100000000000001</v>
      </c>
      <c r="J230" s="280"/>
      <c r="K230" s="281"/>
      <c r="L230" s="281"/>
    </row>
    <row r="231" spans="1:13" outlineLevel="1">
      <c r="A231" s="240"/>
      <c r="B231" s="242" t="s">
        <v>482</v>
      </c>
      <c r="C231" s="218"/>
      <c r="D231" s="219"/>
      <c r="E231" s="220">
        <v>41.47</v>
      </c>
      <c r="F231" s="220"/>
      <c r="G231" s="220"/>
      <c r="H231" s="220"/>
      <c r="I231" s="220">
        <f t="shared" si="11"/>
        <v>41.47</v>
      </c>
      <c r="J231" s="280" t="s">
        <v>1168</v>
      </c>
      <c r="K231" s="281"/>
      <c r="L231" s="281"/>
    </row>
    <row r="232" spans="1:13" outlineLevel="1">
      <c r="A232" s="240"/>
      <c r="B232" s="241" t="s">
        <v>413</v>
      </c>
      <c r="C232" s="245"/>
      <c r="D232" s="219"/>
      <c r="E232" s="220"/>
      <c r="F232" s="220"/>
      <c r="G232" s="220"/>
      <c r="H232" s="220"/>
      <c r="I232" s="220"/>
      <c r="J232" s="280"/>
      <c r="K232" s="281"/>
      <c r="L232" s="281"/>
      <c r="M232" s="26"/>
    </row>
    <row r="233" spans="1:13" outlineLevel="1">
      <c r="A233" s="240"/>
      <c r="B233" s="242" t="s">
        <v>163</v>
      </c>
      <c r="C233" s="245"/>
      <c r="D233" s="219"/>
      <c r="E233" s="220">
        <v>10.039999999999999</v>
      </c>
      <c r="F233" s="220"/>
      <c r="G233" s="220"/>
      <c r="H233" s="220"/>
      <c r="I233" s="220">
        <f t="shared" ref="I233:I240" si="12">E233</f>
        <v>10.039999999999999</v>
      </c>
      <c r="J233" s="280"/>
      <c r="K233" s="281"/>
      <c r="L233" s="281"/>
      <c r="M233" s="26"/>
    </row>
    <row r="234" spans="1:13" outlineLevel="1">
      <c r="A234" s="240"/>
      <c r="B234" s="242" t="s">
        <v>425</v>
      </c>
      <c r="C234" s="245"/>
      <c r="D234" s="219"/>
      <c r="E234" s="220">
        <v>3.25</v>
      </c>
      <c r="F234" s="220"/>
      <c r="G234" s="220"/>
      <c r="H234" s="220"/>
      <c r="I234" s="220">
        <f t="shared" si="12"/>
        <v>3.25</v>
      </c>
      <c r="J234" s="280" t="s">
        <v>1168</v>
      </c>
      <c r="K234" s="281"/>
      <c r="L234" s="281"/>
      <c r="M234" s="26"/>
    </row>
    <row r="235" spans="1:13" outlineLevel="1">
      <c r="A235" s="240"/>
      <c r="B235" s="242" t="s">
        <v>428</v>
      </c>
      <c r="C235" s="245"/>
      <c r="D235" s="219"/>
      <c r="E235" s="220">
        <v>28.49</v>
      </c>
      <c r="F235" s="220"/>
      <c r="G235" s="220"/>
      <c r="H235" s="220"/>
      <c r="I235" s="220">
        <f t="shared" si="12"/>
        <v>28.49</v>
      </c>
      <c r="J235" s="280"/>
      <c r="K235" s="281"/>
      <c r="L235" s="281"/>
      <c r="M235" s="26"/>
    </row>
    <row r="236" spans="1:13" outlineLevel="1">
      <c r="A236" s="240"/>
      <c r="B236" s="242" t="s">
        <v>421</v>
      </c>
      <c r="C236" s="245"/>
      <c r="D236" s="219"/>
      <c r="E236" s="220">
        <v>11.28</v>
      </c>
      <c r="F236" s="220"/>
      <c r="G236" s="220"/>
      <c r="H236" s="220"/>
      <c r="I236" s="220">
        <f t="shared" si="12"/>
        <v>11.28</v>
      </c>
      <c r="J236" s="280"/>
      <c r="K236" s="281"/>
      <c r="L236" s="281"/>
      <c r="M236" s="26"/>
    </row>
    <row r="237" spans="1:13" outlineLevel="1">
      <c r="A237" s="240"/>
      <c r="B237" s="242" t="s">
        <v>420</v>
      </c>
      <c r="C237" s="245"/>
      <c r="D237" s="219"/>
      <c r="E237" s="220">
        <v>27.38</v>
      </c>
      <c r="F237" s="220"/>
      <c r="G237" s="220"/>
      <c r="H237" s="220"/>
      <c r="I237" s="220">
        <f t="shared" si="12"/>
        <v>27.38</v>
      </c>
      <c r="J237" s="280" t="s">
        <v>1168</v>
      </c>
      <c r="K237" s="281"/>
      <c r="L237" s="281"/>
      <c r="M237" s="26"/>
    </row>
    <row r="238" spans="1:13" outlineLevel="1">
      <c r="A238" s="240"/>
      <c r="B238" s="242" t="s">
        <v>423</v>
      </c>
      <c r="C238" s="245"/>
      <c r="D238" s="219"/>
      <c r="E238" s="220">
        <v>1.57</v>
      </c>
      <c r="F238" s="220"/>
      <c r="G238" s="220"/>
      <c r="H238" s="220"/>
      <c r="I238" s="220">
        <f t="shared" si="12"/>
        <v>1.57</v>
      </c>
      <c r="J238" s="280"/>
      <c r="K238" s="281"/>
      <c r="L238" s="281"/>
    </row>
    <row r="239" spans="1:13" outlineLevel="1">
      <c r="A239" s="240"/>
      <c r="B239" s="242" t="s">
        <v>424</v>
      </c>
      <c r="C239" s="245"/>
      <c r="D239" s="219"/>
      <c r="E239" s="220">
        <v>1.57</v>
      </c>
      <c r="F239" s="220"/>
      <c r="G239" s="220"/>
      <c r="H239" s="220"/>
      <c r="I239" s="220">
        <f t="shared" si="12"/>
        <v>1.57</v>
      </c>
      <c r="J239" s="280"/>
      <c r="K239" s="281"/>
      <c r="L239" s="281"/>
    </row>
    <row r="240" spans="1:13" outlineLevel="1">
      <c r="A240" s="240"/>
      <c r="B240" s="242" t="s">
        <v>429</v>
      </c>
      <c r="C240" s="245"/>
      <c r="D240" s="219"/>
      <c r="E240" s="220">
        <v>3.16</v>
      </c>
      <c r="F240" s="220"/>
      <c r="G240" s="220"/>
      <c r="H240" s="220"/>
      <c r="I240" s="220">
        <f t="shared" si="12"/>
        <v>3.16</v>
      </c>
      <c r="J240" s="280" t="s">
        <v>1168</v>
      </c>
      <c r="K240" s="281"/>
      <c r="L240" s="281"/>
    </row>
    <row r="241" spans="1:13" outlineLevel="1">
      <c r="A241" s="240"/>
      <c r="B241" s="241" t="s">
        <v>414</v>
      </c>
      <c r="C241" s="245"/>
      <c r="D241" s="219"/>
      <c r="E241" s="220"/>
      <c r="F241" s="220"/>
      <c r="G241" s="220"/>
      <c r="H241" s="220"/>
      <c r="I241" s="220"/>
      <c r="J241" s="280"/>
      <c r="K241" s="281"/>
      <c r="L241" s="281"/>
      <c r="M241" s="26"/>
    </row>
    <row r="242" spans="1:13" outlineLevel="1">
      <c r="A242" s="240"/>
      <c r="B242" s="242" t="s">
        <v>420</v>
      </c>
      <c r="C242" s="245"/>
      <c r="D242" s="219"/>
      <c r="E242" s="220">
        <v>7.34</v>
      </c>
      <c r="F242" s="220"/>
      <c r="G242" s="220"/>
      <c r="H242" s="220"/>
      <c r="I242" s="220">
        <f t="shared" ref="I242:I249" si="13">E242</f>
        <v>7.34</v>
      </c>
      <c r="J242" s="280"/>
      <c r="K242" s="281"/>
      <c r="L242" s="281"/>
      <c r="M242" s="26"/>
    </row>
    <row r="243" spans="1:13" outlineLevel="1">
      <c r="A243" s="240"/>
      <c r="B243" s="242" t="s">
        <v>420</v>
      </c>
      <c r="C243" s="245"/>
      <c r="D243" s="219"/>
      <c r="E243" s="220">
        <v>7.19</v>
      </c>
      <c r="F243" s="220"/>
      <c r="G243" s="220"/>
      <c r="H243" s="220"/>
      <c r="I243" s="220">
        <f t="shared" si="13"/>
        <v>7.19</v>
      </c>
      <c r="J243" s="280" t="s">
        <v>1168</v>
      </c>
      <c r="K243" s="281"/>
      <c r="L243" s="281"/>
      <c r="M243" s="26"/>
    </row>
    <row r="244" spans="1:13" outlineLevel="1">
      <c r="A244" s="240"/>
      <c r="B244" s="242" t="s">
        <v>473</v>
      </c>
      <c r="C244" s="245"/>
      <c r="D244" s="219"/>
      <c r="E244" s="220">
        <v>28.4</v>
      </c>
      <c r="F244" s="220"/>
      <c r="G244" s="220"/>
      <c r="H244" s="220"/>
      <c r="I244" s="220">
        <f t="shared" si="13"/>
        <v>28.4</v>
      </c>
      <c r="J244" s="280"/>
      <c r="K244" s="281"/>
      <c r="L244" s="281"/>
      <c r="M244" s="26"/>
    </row>
    <row r="245" spans="1:13" outlineLevel="1">
      <c r="A245" s="240"/>
      <c r="B245" s="242" t="s">
        <v>422</v>
      </c>
      <c r="C245" s="245"/>
      <c r="D245" s="219"/>
      <c r="E245" s="220">
        <v>8.1199999999999992</v>
      </c>
      <c r="F245" s="220"/>
      <c r="G245" s="220"/>
      <c r="H245" s="220"/>
      <c r="I245" s="220">
        <f t="shared" si="13"/>
        <v>8.1199999999999992</v>
      </c>
      <c r="J245" s="280"/>
      <c r="K245" s="281"/>
      <c r="L245" s="281"/>
      <c r="M245" s="26"/>
    </row>
    <row r="246" spans="1:13" outlineLevel="1">
      <c r="A246" s="240"/>
      <c r="B246" s="242" t="s">
        <v>431</v>
      </c>
      <c r="C246" s="245"/>
      <c r="D246" s="219"/>
      <c r="E246" s="220">
        <v>27.49</v>
      </c>
      <c r="F246" s="220"/>
      <c r="G246" s="220"/>
      <c r="H246" s="220"/>
      <c r="I246" s="220">
        <f t="shared" si="13"/>
        <v>27.49</v>
      </c>
      <c r="J246" s="280" t="s">
        <v>1168</v>
      </c>
      <c r="K246" s="281"/>
      <c r="L246" s="281"/>
      <c r="M246" s="26"/>
    </row>
    <row r="247" spans="1:13" outlineLevel="1">
      <c r="A247" s="240"/>
      <c r="B247" s="242" t="s">
        <v>423</v>
      </c>
      <c r="C247" s="245"/>
      <c r="D247" s="219"/>
      <c r="E247" s="220">
        <v>1.57</v>
      </c>
      <c r="F247" s="220"/>
      <c r="G247" s="220"/>
      <c r="H247" s="220"/>
      <c r="I247" s="220">
        <f t="shared" si="13"/>
        <v>1.57</v>
      </c>
      <c r="J247" s="280"/>
      <c r="K247" s="281"/>
      <c r="L247" s="281"/>
    </row>
    <row r="248" spans="1:13" outlineLevel="1">
      <c r="A248" s="240"/>
      <c r="B248" s="242" t="s">
        <v>424</v>
      </c>
      <c r="C248" s="245"/>
      <c r="D248" s="219"/>
      <c r="E248" s="220">
        <v>1.57</v>
      </c>
      <c r="F248" s="220"/>
      <c r="G248" s="220"/>
      <c r="H248" s="220"/>
      <c r="I248" s="220">
        <f t="shared" si="13"/>
        <v>1.57</v>
      </c>
      <c r="J248" s="280"/>
      <c r="K248" s="281"/>
      <c r="L248" s="281"/>
    </row>
    <row r="249" spans="1:13" outlineLevel="1">
      <c r="A249" s="240"/>
      <c r="B249" s="242" t="s">
        <v>429</v>
      </c>
      <c r="C249" s="245"/>
      <c r="D249" s="219"/>
      <c r="E249" s="220">
        <v>3.07</v>
      </c>
      <c r="F249" s="220"/>
      <c r="G249" s="220"/>
      <c r="H249" s="220"/>
      <c r="I249" s="220">
        <f t="shared" si="13"/>
        <v>3.07</v>
      </c>
      <c r="J249" s="280" t="s">
        <v>1168</v>
      </c>
      <c r="K249" s="281"/>
      <c r="L249" s="281"/>
    </row>
    <row r="250" spans="1:13" outlineLevel="1">
      <c r="A250" s="252"/>
      <c r="B250" s="253"/>
      <c r="C250" s="254"/>
      <c r="D250" s="224"/>
      <c r="E250" s="225"/>
      <c r="F250" s="225"/>
      <c r="G250" s="225"/>
      <c r="H250" s="225"/>
      <c r="I250" s="225"/>
      <c r="J250" s="280"/>
      <c r="K250" s="281"/>
      <c r="L250" s="281"/>
      <c r="M250" s="26"/>
    </row>
    <row r="251" spans="1:13" outlineLevel="1">
      <c r="A251" s="257" t="s">
        <v>237</v>
      </c>
      <c r="B251" s="189" t="s">
        <v>478</v>
      </c>
      <c r="C251" s="233"/>
      <c r="D251" s="234"/>
      <c r="E251" s="235"/>
      <c r="F251" s="235"/>
      <c r="G251" s="235"/>
      <c r="H251" s="235"/>
      <c r="I251" s="236"/>
      <c r="J251" s="280"/>
      <c r="K251" s="281"/>
      <c r="L251" s="281"/>
    </row>
    <row r="252" spans="1:13" outlineLevel="1">
      <c r="A252" s="247" t="s">
        <v>238</v>
      </c>
      <c r="B252" s="239" t="s">
        <v>479</v>
      </c>
      <c r="C252" s="248" t="s">
        <v>5</v>
      </c>
      <c r="D252" s="213"/>
      <c r="E252" s="249"/>
      <c r="F252" s="214"/>
      <c r="G252" s="249"/>
      <c r="H252" s="214"/>
      <c r="I252" s="250">
        <f>SUM(I255:I263)</f>
        <v>4.2</v>
      </c>
      <c r="J252" s="280" t="s">
        <v>1168</v>
      </c>
      <c r="K252" s="281"/>
      <c r="L252" s="281"/>
    </row>
    <row r="253" spans="1:13" outlineLevel="1">
      <c r="A253" s="240"/>
      <c r="B253" s="241" t="s">
        <v>411</v>
      </c>
      <c r="C253" s="218"/>
      <c r="D253" s="219"/>
      <c r="E253" s="220"/>
      <c r="F253" s="220"/>
      <c r="G253" s="220"/>
      <c r="H253" s="220"/>
      <c r="I253" s="220"/>
      <c r="J253" s="280"/>
      <c r="K253" s="281"/>
      <c r="L253" s="281"/>
      <c r="M253" s="26"/>
    </row>
    <row r="254" spans="1:13" outlineLevel="1">
      <c r="A254" s="240"/>
      <c r="B254" s="242" t="s">
        <v>422</v>
      </c>
      <c r="C254" s="218"/>
      <c r="D254" s="219"/>
      <c r="E254" s="220"/>
      <c r="F254" s="220">
        <v>0.8</v>
      </c>
      <c r="G254" s="220"/>
      <c r="H254" s="220"/>
      <c r="I254" s="220">
        <f>F254</f>
        <v>0.8</v>
      </c>
      <c r="J254" s="280"/>
      <c r="K254" s="281"/>
      <c r="L254" s="281"/>
      <c r="M254" s="26"/>
    </row>
    <row r="255" spans="1:13" outlineLevel="1">
      <c r="A255" s="240"/>
      <c r="B255" s="241" t="s">
        <v>413</v>
      </c>
      <c r="C255" s="218"/>
      <c r="D255" s="219"/>
      <c r="E255" s="220"/>
      <c r="F255" s="220"/>
      <c r="G255" s="220"/>
      <c r="H255" s="220"/>
      <c r="I255" s="220"/>
      <c r="J255" s="280" t="s">
        <v>1168</v>
      </c>
      <c r="K255" s="281"/>
      <c r="L255" s="281"/>
      <c r="M255" s="26"/>
    </row>
    <row r="256" spans="1:13" outlineLevel="1">
      <c r="A256" s="240"/>
      <c r="B256" s="242" t="s">
        <v>423</v>
      </c>
      <c r="C256" s="218"/>
      <c r="D256" s="219"/>
      <c r="E256" s="220"/>
      <c r="F256" s="220">
        <v>0.6</v>
      </c>
      <c r="G256" s="220"/>
      <c r="H256" s="220"/>
      <c r="I256" s="220">
        <f t="shared" ref="I256:I262" si="14">F256</f>
        <v>0.6</v>
      </c>
      <c r="J256" s="280"/>
      <c r="K256" s="281"/>
      <c r="L256" s="281"/>
      <c r="M256" s="26"/>
    </row>
    <row r="257" spans="1:13" outlineLevel="1">
      <c r="A257" s="240"/>
      <c r="B257" s="242" t="s">
        <v>424</v>
      </c>
      <c r="C257" s="218"/>
      <c r="D257" s="219"/>
      <c r="E257" s="220"/>
      <c r="F257" s="220">
        <v>0.6</v>
      </c>
      <c r="G257" s="220"/>
      <c r="H257" s="220"/>
      <c r="I257" s="220">
        <f t="shared" si="14"/>
        <v>0.6</v>
      </c>
      <c r="J257" s="280"/>
      <c r="K257" s="281"/>
      <c r="L257" s="281"/>
      <c r="M257" s="26"/>
    </row>
    <row r="258" spans="1:13" outlineLevel="1">
      <c r="A258" s="240"/>
      <c r="B258" s="242" t="s">
        <v>429</v>
      </c>
      <c r="C258" s="218"/>
      <c r="D258" s="219"/>
      <c r="E258" s="220"/>
      <c r="F258" s="220">
        <v>0.9</v>
      </c>
      <c r="G258" s="220"/>
      <c r="H258" s="220"/>
      <c r="I258" s="220">
        <f t="shared" si="14"/>
        <v>0.9</v>
      </c>
      <c r="J258" s="280" t="s">
        <v>1168</v>
      </c>
      <c r="K258" s="281"/>
      <c r="L258" s="281"/>
      <c r="M258" s="26"/>
    </row>
    <row r="259" spans="1:13" outlineLevel="1">
      <c r="A259" s="240"/>
      <c r="B259" s="241" t="s">
        <v>414</v>
      </c>
      <c r="C259" s="218"/>
      <c r="D259" s="219"/>
      <c r="E259" s="220"/>
      <c r="F259" s="220"/>
      <c r="G259" s="220"/>
      <c r="H259" s="220"/>
      <c r="I259" s="220"/>
      <c r="J259" s="280"/>
      <c r="K259" s="281"/>
      <c r="L259" s="281"/>
    </row>
    <row r="260" spans="1:13" outlineLevel="1">
      <c r="A260" s="240"/>
      <c r="B260" s="242" t="s">
        <v>423</v>
      </c>
      <c r="C260" s="218"/>
      <c r="D260" s="219"/>
      <c r="E260" s="220"/>
      <c r="F260" s="220">
        <v>0.6</v>
      </c>
      <c r="G260" s="220"/>
      <c r="H260" s="220"/>
      <c r="I260" s="220">
        <f t="shared" si="14"/>
        <v>0.6</v>
      </c>
      <c r="J260" s="280"/>
      <c r="K260" s="281"/>
      <c r="L260" s="281"/>
    </row>
    <row r="261" spans="1:13" outlineLevel="1">
      <c r="A261" s="240"/>
      <c r="B261" s="242" t="s">
        <v>424</v>
      </c>
      <c r="C261" s="218"/>
      <c r="D261" s="219"/>
      <c r="E261" s="220"/>
      <c r="F261" s="220">
        <v>0.6</v>
      </c>
      <c r="G261" s="220"/>
      <c r="H261" s="220"/>
      <c r="I261" s="220">
        <f t="shared" si="14"/>
        <v>0.6</v>
      </c>
      <c r="J261" s="280" t="s">
        <v>1168</v>
      </c>
      <c r="K261" s="281"/>
      <c r="L261" s="281"/>
    </row>
    <row r="262" spans="1:13" outlineLevel="1">
      <c r="A262" s="240"/>
      <c r="B262" s="242" t="s">
        <v>429</v>
      </c>
      <c r="C262" s="218"/>
      <c r="D262" s="219"/>
      <c r="E262" s="220"/>
      <c r="F262" s="220">
        <v>0.9</v>
      </c>
      <c r="G262" s="220"/>
      <c r="H262" s="220"/>
      <c r="I262" s="220">
        <f t="shared" si="14"/>
        <v>0.9</v>
      </c>
      <c r="J262" s="280"/>
      <c r="K262" s="281"/>
      <c r="L262" s="281"/>
    </row>
    <row r="263" spans="1:13" outlineLevel="1">
      <c r="A263" s="252"/>
      <c r="B263" s="253"/>
      <c r="C263" s="223"/>
      <c r="D263" s="224"/>
      <c r="E263" s="225"/>
      <c r="F263" s="225"/>
      <c r="G263" s="225"/>
      <c r="H263" s="225"/>
      <c r="I263" s="225"/>
      <c r="J263" s="280"/>
      <c r="K263" s="281"/>
      <c r="L263" s="281"/>
    </row>
    <row r="264" spans="1:13" outlineLevel="1">
      <c r="A264" s="257" t="s">
        <v>253</v>
      </c>
      <c r="B264" s="189" t="s">
        <v>480</v>
      </c>
      <c r="C264" s="233"/>
      <c r="D264" s="234"/>
      <c r="E264" s="235"/>
      <c r="F264" s="235"/>
      <c r="G264" s="235"/>
      <c r="H264" s="235"/>
      <c r="I264" s="236"/>
      <c r="J264" s="280" t="s">
        <v>1168</v>
      </c>
      <c r="K264" s="281"/>
      <c r="L264" s="281"/>
      <c r="M264" s="26"/>
    </row>
    <row r="265" spans="1:13" ht="31.5" outlineLevel="1">
      <c r="A265" s="247" t="s">
        <v>254</v>
      </c>
      <c r="B265" s="239" t="s">
        <v>481</v>
      </c>
      <c r="C265" s="248" t="s">
        <v>5</v>
      </c>
      <c r="D265" s="213"/>
      <c r="E265" s="249"/>
      <c r="F265" s="214"/>
      <c r="G265" s="249"/>
      <c r="H265" s="214"/>
      <c r="I265" s="250">
        <f>SUM(I266:I286)</f>
        <v>252.43</v>
      </c>
      <c r="J265" s="280"/>
      <c r="K265" s="281"/>
      <c r="L265" s="281"/>
      <c r="M265" s="26"/>
    </row>
    <row r="266" spans="1:13" outlineLevel="1">
      <c r="A266" s="240"/>
      <c r="B266" s="241" t="s">
        <v>411</v>
      </c>
      <c r="C266" s="218"/>
      <c r="D266" s="219"/>
      <c r="E266" s="220"/>
      <c r="F266" s="220"/>
      <c r="G266" s="220"/>
      <c r="H266" s="220"/>
      <c r="I266" s="220"/>
      <c r="J266" s="280"/>
      <c r="K266" s="281"/>
      <c r="L266" s="281"/>
      <c r="M266" s="26"/>
    </row>
    <row r="267" spans="1:13" outlineLevel="1">
      <c r="A267" s="240"/>
      <c r="B267" s="242" t="s">
        <v>418</v>
      </c>
      <c r="C267" s="218"/>
      <c r="D267" s="219"/>
      <c r="E267" s="220"/>
      <c r="F267" s="220">
        <f>3.76+3.2+1.48+0.53+2.34+3.73-0.8</f>
        <v>14.239999999999998</v>
      </c>
      <c r="G267" s="220"/>
      <c r="H267" s="220"/>
      <c r="I267" s="220">
        <f>F267</f>
        <v>14.239999999999998</v>
      </c>
      <c r="J267" s="280" t="s">
        <v>1168</v>
      </c>
      <c r="K267" s="281"/>
      <c r="L267" s="281"/>
      <c r="M267" s="26"/>
    </row>
    <row r="268" spans="1:13" outlineLevel="1">
      <c r="A268" s="240"/>
      <c r="B268" s="242" t="s">
        <v>426</v>
      </c>
      <c r="C268" s="218"/>
      <c r="D268" s="219"/>
      <c r="E268" s="220"/>
      <c r="F268" s="220">
        <f>3.73*2+4.1*2-0.8</f>
        <v>14.86</v>
      </c>
      <c r="G268" s="220"/>
      <c r="H268" s="220"/>
      <c r="I268" s="220">
        <f t="shared" ref="I268:I285" si="15">F268</f>
        <v>14.86</v>
      </c>
      <c r="J268" s="280"/>
      <c r="K268" s="281"/>
      <c r="L268" s="281"/>
      <c r="M268" s="26"/>
    </row>
    <row r="269" spans="1:13" outlineLevel="1">
      <c r="A269" s="240"/>
      <c r="B269" s="242" t="s">
        <v>419</v>
      </c>
      <c r="C269" s="218"/>
      <c r="D269" s="219"/>
      <c r="E269" s="220"/>
      <c r="F269" s="220">
        <f>4.44*2+2.75*2-0.8</f>
        <v>13.58</v>
      </c>
      <c r="G269" s="220"/>
      <c r="H269" s="220"/>
      <c r="I269" s="220">
        <f t="shared" si="15"/>
        <v>13.58</v>
      </c>
      <c r="J269" s="280"/>
      <c r="K269" s="281"/>
      <c r="L269" s="281"/>
      <c r="M269" s="26"/>
    </row>
    <row r="270" spans="1:13" outlineLevel="1">
      <c r="A270" s="240"/>
      <c r="B270" s="242" t="s">
        <v>427</v>
      </c>
      <c r="C270" s="218"/>
      <c r="D270" s="219"/>
      <c r="E270" s="220"/>
      <c r="F270" s="220">
        <f>2.85*2+2.05-0.8*2</f>
        <v>6.15</v>
      </c>
      <c r="G270" s="220"/>
      <c r="H270" s="220"/>
      <c r="I270" s="220">
        <f t="shared" si="15"/>
        <v>6.15</v>
      </c>
      <c r="J270" s="280" t="s">
        <v>1168</v>
      </c>
      <c r="K270" s="281"/>
      <c r="L270" s="281"/>
      <c r="M270" s="26"/>
    </row>
    <row r="271" spans="1:13" outlineLevel="1">
      <c r="A271" s="240"/>
      <c r="B271" s="242" t="s">
        <v>420</v>
      </c>
      <c r="C271" s="218"/>
      <c r="D271" s="219"/>
      <c r="E271" s="220"/>
      <c r="F271" s="220">
        <f>2.95+2.35+0.57+0.4+2.38+2.75-0.8</f>
        <v>10.600000000000001</v>
      </c>
      <c r="G271" s="220"/>
      <c r="H271" s="220"/>
      <c r="I271" s="220">
        <f t="shared" si="15"/>
        <v>10.600000000000001</v>
      </c>
      <c r="J271" s="280"/>
      <c r="K271" s="281"/>
      <c r="L271" s="281"/>
      <c r="M271" s="26"/>
    </row>
    <row r="272" spans="1:13" outlineLevel="1">
      <c r="A272" s="240"/>
      <c r="B272" s="242" t="s">
        <v>420</v>
      </c>
      <c r="C272" s="218"/>
      <c r="D272" s="219"/>
      <c r="E272" s="220"/>
      <c r="F272" s="220">
        <f>2.95+2.75+2.2+0.37+0.75+2.38-0.8</f>
        <v>10.599999999999998</v>
      </c>
      <c r="G272" s="220"/>
      <c r="H272" s="220"/>
      <c r="I272" s="220">
        <f t="shared" si="15"/>
        <v>10.599999999999998</v>
      </c>
      <c r="J272" s="280"/>
      <c r="K272" s="281"/>
      <c r="L272" s="281"/>
    </row>
    <row r="273" spans="1:13" outlineLevel="1">
      <c r="A273" s="240"/>
      <c r="B273" s="242" t="s">
        <v>422</v>
      </c>
      <c r="C273" s="218"/>
      <c r="D273" s="219"/>
      <c r="E273" s="220"/>
      <c r="F273" s="220">
        <f>6.54-2*0.8+1.2-0.6+8.5-2.05-0.8+1.2-0.8+5.4+0.35+1.87+5.67-0.8-2*0.9</f>
        <v>22.279999999999994</v>
      </c>
      <c r="G273" s="220"/>
      <c r="H273" s="220"/>
      <c r="I273" s="220">
        <f t="shared" si="15"/>
        <v>22.279999999999994</v>
      </c>
      <c r="J273" s="280" t="s">
        <v>1168</v>
      </c>
      <c r="K273" s="281"/>
      <c r="L273" s="281"/>
    </row>
    <row r="274" spans="1:13" outlineLevel="1">
      <c r="A274" s="240"/>
      <c r="B274" s="242" t="s">
        <v>482</v>
      </c>
      <c r="C274" s="218"/>
      <c r="D274" s="219"/>
      <c r="E274" s="220"/>
      <c r="F274" s="220">
        <v>29.58</v>
      </c>
      <c r="G274" s="220"/>
      <c r="H274" s="220"/>
      <c r="I274" s="220">
        <f t="shared" si="15"/>
        <v>29.58</v>
      </c>
      <c r="J274" s="280"/>
      <c r="K274" s="281"/>
      <c r="L274" s="281"/>
    </row>
    <row r="275" spans="1:13" outlineLevel="1">
      <c r="A275" s="240"/>
      <c r="B275" s="241" t="s">
        <v>413</v>
      </c>
      <c r="C275" s="218"/>
      <c r="D275" s="219"/>
      <c r="E275" s="220"/>
      <c r="F275" s="220"/>
      <c r="G275" s="220"/>
      <c r="H275" s="220"/>
      <c r="I275" s="220"/>
      <c r="J275" s="280"/>
      <c r="K275" s="281"/>
      <c r="L275" s="281"/>
    </row>
    <row r="276" spans="1:13" outlineLevel="1">
      <c r="A276" s="240"/>
      <c r="B276" s="242" t="s">
        <v>163</v>
      </c>
      <c r="C276" s="218"/>
      <c r="D276" s="219"/>
      <c r="E276" s="220"/>
      <c r="F276" s="220">
        <f>0.46+1.76-0.9+1.92</f>
        <v>3.24</v>
      </c>
      <c r="G276" s="220"/>
      <c r="H276" s="220"/>
      <c r="I276" s="220">
        <f t="shared" si="15"/>
        <v>3.24</v>
      </c>
      <c r="J276" s="280" t="s">
        <v>1168</v>
      </c>
      <c r="K276" s="281"/>
      <c r="L276" s="281"/>
    </row>
    <row r="277" spans="1:13" outlineLevel="1">
      <c r="A277" s="240"/>
      <c r="B277" s="242" t="s">
        <v>425</v>
      </c>
      <c r="C277" s="218"/>
      <c r="D277" s="219"/>
      <c r="E277" s="220"/>
      <c r="F277" s="220">
        <f>0.5+1.2+2.72-2*0.6+1.71+0.1</f>
        <v>5.0299999999999994</v>
      </c>
      <c r="G277" s="220"/>
      <c r="H277" s="220"/>
      <c r="I277" s="220">
        <f t="shared" si="15"/>
        <v>5.0299999999999994</v>
      </c>
      <c r="J277" s="280"/>
      <c r="K277" s="281"/>
      <c r="L277" s="281"/>
    </row>
    <row r="278" spans="1:13" outlineLevel="1">
      <c r="A278" s="240"/>
      <c r="B278" s="242" t="s">
        <v>428</v>
      </c>
      <c r="C278" s="218"/>
      <c r="D278" s="219"/>
      <c r="E278" s="220"/>
      <c r="F278" s="220">
        <f>0.27+0.46+1.3+1.71+4.24+1.8+0.55+1.18+2.51-0.8+4.98+0.29+0.55+0.29+5.03</f>
        <v>24.360000000000003</v>
      </c>
      <c r="G278" s="220"/>
      <c r="H278" s="220"/>
      <c r="I278" s="220">
        <f t="shared" si="15"/>
        <v>24.360000000000003</v>
      </c>
      <c r="J278" s="280"/>
      <c r="K278" s="281"/>
      <c r="L278" s="281"/>
    </row>
    <row r="279" spans="1:13" outlineLevel="1">
      <c r="A279" s="240"/>
      <c r="B279" s="242" t="s">
        <v>421</v>
      </c>
      <c r="C279" s="218"/>
      <c r="D279" s="219"/>
      <c r="E279" s="220"/>
      <c r="F279" s="220">
        <f>2.26-0.8+0.45+0.25+4.64+0.37+0.37+1.17-0.9+4.02-0.9+0.97+3.55-0.9</f>
        <v>14.549999999999999</v>
      </c>
      <c r="G279" s="220"/>
      <c r="H279" s="220"/>
      <c r="I279" s="220">
        <f t="shared" si="15"/>
        <v>14.549999999999999</v>
      </c>
      <c r="J279" s="280" t="s">
        <v>1168</v>
      </c>
      <c r="K279" s="281"/>
      <c r="L279" s="281"/>
    </row>
    <row r="280" spans="1:13" outlineLevel="1">
      <c r="A280" s="240"/>
      <c r="B280" s="242" t="s">
        <v>420</v>
      </c>
      <c r="C280" s="218"/>
      <c r="D280" s="219"/>
      <c r="E280" s="220"/>
      <c r="F280" s="220">
        <f>5.84-0.9+0.14+3.82+0.55+2.18+3.66+0.68+0.26+0.66+0.26+3.58</f>
        <v>20.730000000000004</v>
      </c>
      <c r="G280" s="220"/>
      <c r="H280" s="220"/>
      <c r="I280" s="220">
        <f t="shared" si="15"/>
        <v>20.730000000000004</v>
      </c>
      <c r="J280" s="280"/>
      <c r="K280" s="281"/>
      <c r="L280" s="281"/>
    </row>
    <row r="281" spans="1:13" outlineLevel="1">
      <c r="A281" s="240"/>
      <c r="B281" s="241" t="s">
        <v>414</v>
      </c>
      <c r="C281" s="218"/>
      <c r="D281" s="219"/>
      <c r="E281" s="220"/>
      <c r="F281" s="220"/>
      <c r="G281" s="220"/>
      <c r="H281" s="220"/>
      <c r="I281" s="220"/>
      <c r="J281" s="280"/>
      <c r="K281" s="281"/>
      <c r="L281" s="281"/>
    </row>
    <row r="282" spans="1:13" outlineLevel="1">
      <c r="A282" s="240"/>
      <c r="B282" s="242" t="s">
        <v>420</v>
      </c>
      <c r="C282" s="218"/>
      <c r="D282" s="219"/>
      <c r="E282" s="220"/>
      <c r="F282" s="220">
        <f>2.17+0.33+0.35+2.61</f>
        <v>5.46</v>
      </c>
      <c r="G282" s="220"/>
      <c r="H282" s="220"/>
      <c r="I282" s="220">
        <f t="shared" si="15"/>
        <v>5.46</v>
      </c>
      <c r="J282" s="280" t="s">
        <v>1168</v>
      </c>
      <c r="K282" s="281"/>
      <c r="L282" s="281"/>
      <c r="M282" s="26"/>
    </row>
    <row r="283" spans="1:13" outlineLevel="1">
      <c r="A283" s="240"/>
      <c r="B283" s="242" t="s">
        <v>420</v>
      </c>
      <c r="C283" s="218"/>
      <c r="D283" s="219"/>
      <c r="E283" s="220"/>
      <c r="F283" s="220">
        <f>2.75+0.37+0.15+2.15</f>
        <v>5.42</v>
      </c>
      <c r="G283" s="220"/>
      <c r="H283" s="220"/>
      <c r="I283" s="220">
        <f t="shared" si="15"/>
        <v>5.42</v>
      </c>
      <c r="J283" s="280"/>
      <c r="K283" s="281"/>
      <c r="L283" s="281"/>
      <c r="M283" s="26"/>
    </row>
    <row r="284" spans="1:13" outlineLevel="1">
      <c r="A284" s="240"/>
      <c r="B284" s="242" t="s">
        <v>430</v>
      </c>
      <c r="C284" s="218"/>
      <c r="D284" s="219"/>
      <c r="E284" s="220"/>
      <c r="F284" s="220">
        <f>1.2+2.82-0.6*2+6.04+0.51+4.84-0.9+0.92+1.96-0.9+0.32+0.46+0.37+4.67+0.25+0.55+0.25+5+0.3+0.55+0.3+2.71</f>
        <v>31.020000000000003</v>
      </c>
      <c r="G284" s="220"/>
      <c r="H284" s="220"/>
      <c r="I284" s="220">
        <f t="shared" si="15"/>
        <v>31.020000000000003</v>
      </c>
      <c r="J284" s="280"/>
      <c r="K284" s="281"/>
      <c r="L284" s="281"/>
      <c r="M284" s="26"/>
    </row>
    <row r="285" spans="1:13" outlineLevel="1">
      <c r="A285" s="240"/>
      <c r="B285" s="242" t="s">
        <v>431</v>
      </c>
      <c r="C285" s="218"/>
      <c r="D285" s="219"/>
      <c r="E285" s="220"/>
      <c r="F285" s="220">
        <f>5.84-0.9+0.14+3.82+0.55+2.18+3.66+0.68+0.26+0.66+0.26+3.58</f>
        <v>20.730000000000004</v>
      </c>
      <c r="G285" s="220"/>
      <c r="H285" s="220"/>
      <c r="I285" s="220">
        <f t="shared" si="15"/>
        <v>20.730000000000004</v>
      </c>
      <c r="J285" s="280" t="s">
        <v>1168</v>
      </c>
      <c r="K285" s="281"/>
      <c r="L285" s="281"/>
      <c r="M285" s="26"/>
    </row>
    <row r="286" spans="1:13" outlineLevel="1">
      <c r="A286" s="252"/>
      <c r="B286" s="253"/>
      <c r="C286" s="223"/>
      <c r="D286" s="224"/>
      <c r="E286" s="225"/>
      <c r="F286" s="225"/>
      <c r="G286" s="225"/>
      <c r="H286" s="225"/>
      <c r="I286" s="225"/>
      <c r="J286" s="280"/>
      <c r="K286" s="281"/>
      <c r="L286" s="281"/>
      <c r="M286" s="26"/>
    </row>
    <row r="287" spans="1:13">
      <c r="A287" s="227" t="s">
        <v>25</v>
      </c>
      <c r="B287" s="228" t="s">
        <v>12</v>
      </c>
      <c r="C287" s="229"/>
      <c r="D287" s="230"/>
      <c r="E287" s="231"/>
      <c r="F287" s="231"/>
      <c r="G287" s="231"/>
      <c r="H287" s="231"/>
      <c r="I287" s="232"/>
      <c r="J287" s="280"/>
      <c r="K287" s="281"/>
      <c r="L287" s="281"/>
    </row>
    <row r="288" spans="1:13" outlineLevel="1">
      <c r="A288" s="188" t="s">
        <v>35</v>
      </c>
      <c r="B288" s="189" t="s">
        <v>466</v>
      </c>
      <c r="C288" s="233"/>
      <c r="D288" s="234"/>
      <c r="E288" s="235"/>
      <c r="F288" s="235"/>
      <c r="G288" s="235"/>
      <c r="H288" s="235"/>
      <c r="I288" s="236"/>
      <c r="J288" s="280" t="s">
        <v>1168</v>
      </c>
      <c r="K288" s="281"/>
      <c r="L288" s="281"/>
    </row>
    <row r="289" spans="1:13" ht="31.5" outlineLevel="1">
      <c r="A289" s="210" t="s">
        <v>56</v>
      </c>
      <c r="B289" s="211" t="s">
        <v>53</v>
      </c>
      <c r="C289" s="212" t="s">
        <v>4</v>
      </c>
      <c r="D289" s="213"/>
      <c r="E289" s="214"/>
      <c r="F289" s="214"/>
      <c r="G289" s="214"/>
      <c r="H289" s="214"/>
      <c r="I289" s="215">
        <f>SUM(I290:I312)</f>
        <v>170.59716</v>
      </c>
      <c r="J289" s="280"/>
      <c r="K289" s="281"/>
      <c r="L289" s="281"/>
    </row>
    <row r="290" spans="1:13" s="26" customFormat="1" outlineLevel="1">
      <c r="A290" s="240"/>
      <c r="B290" s="241" t="s">
        <v>411</v>
      </c>
      <c r="C290" s="245"/>
      <c r="D290" s="246"/>
      <c r="E290" s="251"/>
      <c r="F290" s="251"/>
      <c r="G290" s="251"/>
      <c r="H290" s="251"/>
      <c r="I290" s="251"/>
      <c r="J290" s="280"/>
      <c r="K290" s="281"/>
      <c r="L290" s="281"/>
    </row>
    <row r="291" spans="1:13" s="26" customFormat="1" outlineLevel="1">
      <c r="A291" s="216"/>
      <c r="B291" s="217" t="s">
        <v>482</v>
      </c>
      <c r="C291" s="218"/>
      <c r="D291" s="219">
        <v>0.3</v>
      </c>
      <c r="E291" s="220"/>
      <c r="F291" s="220">
        <v>29.58</v>
      </c>
      <c r="G291" s="220"/>
      <c r="H291" s="220">
        <v>2.6</v>
      </c>
      <c r="I291" s="220">
        <f>F291*H291*D291</f>
        <v>23.072399999999998</v>
      </c>
      <c r="J291" s="280" t="s">
        <v>1168</v>
      </c>
      <c r="K291" s="281"/>
      <c r="L291" s="281"/>
      <c r="M291" s="33"/>
    </row>
    <row r="292" spans="1:13" outlineLevel="1">
      <c r="A292" s="216"/>
      <c r="B292" s="258" t="s">
        <v>412</v>
      </c>
      <c r="C292" s="218"/>
      <c r="D292" s="219"/>
      <c r="E292" s="220"/>
      <c r="F292" s="220"/>
      <c r="G292" s="220"/>
      <c r="H292" s="220"/>
      <c r="I292" s="220"/>
      <c r="J292" s="280"/>
      <c r="K292" s="281"/>
      <c r="L292" s="281"/>
    </row>
    <row r="293" spans="1:13" outlineLevel="1">
      <c r="A293" s="216"/>
      <c r="B293" s="217" t="s">
        <v>483</v>
      </c>
      <c r="C293" s="218"/>
      <c r="D293" s="219">
        <v>0.3</v>
      </c>
      <c r="E293" s="220"/>
      <c r="F293" s="220">
        <f>7.24+4.95</f>
        <v>12.190000000000001</v>
      </c>
      <c r="G293" s="220"/>
      <c r="H293" s="220">
        <v>1.08</v>
      </c>
      <c r="I293" s="220">
        <f>F293*H293*D293</f>
        <v>3.9495600000000004</v>
      </c>
      <c r="J293" s="280"/>
      <c r="K293" s="281"/>
      <c r="L293" s="281"/>
    </row>
    <row r="294" spans="1:13" outlineLevel="1">
      <c r="A294" s="216"/>
      <c r="B294" s="217" t="s">
        <v>483</v>
      </c>
      <c r="C294" s="218"/>
      <c r="D294" s="219">
        <v>0.3</v>
      </c>
      <c r="E294" s="220">
        <f>0.8*2.1</f>
        <v>1.6800000000000002</v>
      </c>
      <c r="F294" s="220">
        <f>1.63+14.38</f>
        <v>16.010000000000002</v>
      </c>
      <c r="G294" s="220"/>
      <c r="H294" s="220">
        <v>2.6</v>
      </c>
      <c r="I294" s="220">
        <f t="shared" ref="I294:I300" si="16">F294*H294*D294</f>
        <v>12.487800000000002</v>
      </c>
      <c r="J294" s="280" t="s">
        <v>1168</v>
      </c>
      <c r="K294" s="281"/>
      <c r="L294" s="281"/>
    </row>
    <row r="295" spans="1:13" outlineLevel="1">
      <c r="A295" s="216"/>
      <c r="B295" s="217" t="s">
        <v>484</v>
      </c>
      <c r="C295" s="218"/>
      <c r="D295" s="219">
        <v>0.3</v>
      </c>
      <c r="E295" s="220"/>
      <c r="F295" s="220">
        <v>2.0699999999999998</v>
      </c>
      <c r="G295" s="220"/>
      <c r="H295" s="220">
        <v>1.08</v>
      </c>
      <c r="I295" s="220">
        <f t="shared" si="16"/>
        <v>0.67067999999999994</v>
      </c>
      <c r="J295" s="280"/>
      <c r="K295" s="281"/>
      <c r="L295" s="281"/>
    </row>
    <row r="296" spans="1:13" outlineLevel="1">
      <c r="A296" s="216"/>
      <c r="B296" s="217" t="s">
        <v>484</v>
      </c>
      <c r="C296" s="218"/>
      <c r="D296" s="219">
        <v>0.3</v>
      </c>
      <c r="E296" s="220">
        <f>0.7*2.1</f>
        <v>1.47</v>
      </c>
      <c r="F296" s="220">
        <v>8.83</v>
      </c>
      <c r="G296" s="220"/>
      <c r="H296" s="220">
        <v>2.6</v>
      </c>
      <c r="I296" s="220">
        <f t="shared" si="16"/>
        <v>6.8874000000000004</v>
      </c>
      <c r="J296" s="280"/>
      <c r="K296" s="281"/>
      <c r="L296" s="281"/>
    </row>
    <row r="297" spans="1:13" outlineLevel="1">
      <c r="A297" s="216"/>
      <c r="B297" s="217" t="s">
        <v>485</v>
      </c>
      <c r="C297" s="218"/>
      <c r="D297" s="219">
        <v>0.3</v>
      </c>
      <c r="E297" s="220"/>
      <c r="F297" s="220">
        <v>2.5299999999999998</v>
      </c>
      <c r="G297" s="220"/>
      <c r="H297" s="220">
        <v>1.08</v>
      </c>
      <c r="I297" s="220">
        <f t="shared" si="16"/>
        <v>0.81972</v>
      </c>
      <c r="J297" s="280" t="s">
        <v>1168</v>
      </c>
      <c r="K297" s="281"/>
      <c r="L297" s="281"/>
    </row>
    <row r="298" spans="1:13" outlineLevel="1">
      <c r="A298" s="216"/>
      <c r="B298" s="217" t="s">
        <v>485</v>
      </c>
      <c r="C298" s="218"/>
      <c r="D298" s="219">
        <v>0.3</v>
      </c>
      <c r="E298" s="220">
        <f>0.8*2.1</f>
        <v>1.6800000000000002</v>
      </c>
      <c r="F298" s="220">
        <v>8.1300000000000008</v>
      </c>
      <c r="G298" s="220"/>
      <c r="H298" s="220">
        <v>2.6</v>
      </c>
      <c r="I298" s="220">
        <f t="shared" si="16"/>
        <v>6.3414000000000001</v>
      </c>
      <c r="J298" s="280"/>
      <c r="K298" s="281"/>
      <c r="L298" s="281"/>
    </row>
    <row r="299" spans="1:13" outlineLevel="1">
      <c r="A299" s="216"/>
      <c r="B299" s="261" t="s">
        <v>486</v>
      </c>
      <c r="C299" s="218"/>
      <c r="D299" s="219">
        <v>0.3</v>
      </c>
      <c r="E299" s="220"/>
      <c r="F299" s="220">
        <v>4.4000000000000004</v>
      </c>
      <c r="G299" s="220"/>
      <c r="H299" s="220">
        <v>1.08</v>
      </c>
      <c r="I299" s="220">
        <f t="shared" si="16"/>
        <v>1.4256000000000002</v>
      </c>
      <c r="J299" s="280"/>
      <c r="K299" s="281"/>
      <c r="L299" s="281"/>
    </row>
    <row r="300" spans="1:13" outlineLevel="1">
      <c r="A300" s="216"/>
      <c r="B300" s="261" t="s">
        <v>486</v>
      </c>
      <c r="C300" s="218"/>
      <c r="D300" s="219">
        <v>0.3</v>
      </c>
      <c r="E300" s="220"/>
      <c r="F300" s="220">
        <f>4.75+3.62</f>
        <v>8.370000000000001</v>
      </c>
      <c r="G300" s="220"/>
      <c r="H300" s="220">
        <v>2.6</v>
      </c>
      <c r="I300" s="220">
        <f t="shared" si="16"/>
        <v>6.5286000000000008</v>
      </c>
      <c r="J300" s="280" t="s">
        <v>1168</v>
      </c>
      <c r="K300" s="281"/>
      <c r="L300" s="281"/>
    </row>
    <row r="301" spans="1:13" s="26" customFormat="1" outlineLevel="1">
      <c r="A301" s="216"/>
      <c r="B301" s="258" t="s">
        <v>413</v>
      </c>
      <c r="C301" s="218"/>
      <c r="D301" s="219"/>
      <c r="E301" s="220"/>
      <c r="F301" s="220"/>
      <c r="G301" s="220"/>
      <c r="H301" s="220"/>
      <c r="I301" s="220"/>
      <c r="J301" s="280"/>
      <c r="K301" s="281"/>
      <c r="L301" s="281"/>
    </row>
    <row r="302" spans="1:13" outlineLevel="1">
      <c r="A302" s="216"/>
      <c r="B302" s="217" t="s">
        <v>422</v>
      </c>
      <c r="C302" s="218"/>
      <c r="D302" s="219">
        <v>0.3</v>
      </c>
      <c r="E302" s="220">
        <f>0.8*2.1+1*2.1</f>
        <v>3.7800000000000002</v>
      </c>
      <c r="F302" s="220">
        <v>12.7</v>
      </c>
      <c r="G302" s="220"/>
      <c r="H302" s="220">
        <v>2.6</v>
      </c>
      <c r="I302" s="220">
        <f>F302*H302*D302</f>
        <v>9.9059999999999988</v>
      </c>
      <c r="J302" s="280"/>
      <c r="K302" s="281"/>
      <c r="L302" s="281"/>
    </row>
    <row r="303" spans="1:13" s="26" customFormat="1" outlineLevel="1">
      <c r="A303" s="216"/>
      <c r="B303" s="217" t="s">
        <v>423</v>
      </c>
      <c r="C303" s="218"/>
      <c r="D303" s="219"/>
      <c r="E303" s="220">
        <f>0.6*2.1</f>
        <v>1.26</v>
      </c>
      <c r="F303" s="220">
        <v>1.44</v>
      </c>
      <c r="G303" s="220">
        <v>1.0900000000000001</v>
      </c>
      <c r="H303" s="220">
        <v>2.6</v>
      </c>
      <c r="I303" s="220">
        <f>2*F303*H303+2*G303*H303-E303</f>
        <v>11.896000000000001</v>
      </c>
      <c r="J303" s="280" t="s">
        <v>1168</v>
      </c>
      <c r="K303" s="281"/>
      <c r="L303" s="281"/>
    </row>
    <row r="304" spans="1:13" s="26" customFormat="1" outlineLevel="1">
      <c r="A304" s="216"/>
      <c r="B304" s="217" t="s">
        <v>424</v>
      </c>
      <c r="C304" s="218"/>
      <c r="D304" s="219"/>
      <c r="E304" s="220">
        <f>0.6*2.1</f>
        <v>1.26</v>
      </c>
      <c r="F304" s="220">
        <v>1.44</v>
      </c>
      <c r="G304" s="220">
        <v>1.0900000000000001</v>
      </c>
      <c r="H304" s="220">
        <v>2.6</v>
      </c>
      <c r="I304" s="220">
        <f>2*F304*H304+2*G304*H304-E304</f>
        <v>11.896000000000001</v>
      </c>
      <c r="J304" s="280"/>
      <c r="K304" s="281"/>
      <c r="L304" s="281"/>
    </row>
    <row r="305" spans="1:12" s="26" customFormat="1" outlineLevel="1">
      <c r="A305" s="216"/>
      <c r="B305" s="217" t="s">
        <v>429</v>
      </c>
      <c r="C305" s="218"/>
      <c r="D305" s="219"/>
      <c r="E305" s="220">
        <f>0.9*2.1</f>
        <v>1.8900000000000001</v>
      </c>
      <c r="F305" s="220">
        <v>1.76</v>
      </c>
      <c r="G305" s="220">
        <v>1.8</v>
      </c>
      <c r="H305" s="220">
        <v>2.6</v>
      </c>
      <c r="I305" s="220">
        <f>2*F305*H305+2*G305*H305-E305</f>
        <v>16.622</v>
      </c>
      <c r="J305" s="280"/>
      <c r="K305" s="281"/>
      <c r="L305" s="281"/>
    </row>
    <row r="306" spans="1:12" s="26" customFormat="1" outlineLevel="1">
      <c r="A306" s="216"/>
      <c r="B306" s="217" t="s">
        <v>163</v>
      </c>
      <c r="C306" s="218"/>
      <c r="D306" s="219"/>
      <c r="E306" s="220"/>
      <c r="F306" s="220">
        <v>3.09</v>
      </c>
      <c r="G306" s="262"/>
      <c r="H306" s="220">
        <v>2.6</v>
      </c>
      <c r="I306" s="220">
        <f>F306*H306</f>
        <v>8.0340000000000007</v>
      </c>
      <c r="J306" s="280" t="s">
        <v>1168</v>
      </c>
      <c r="K306" s="281"/>
      <c r="L306" s="281"/>
    </row>
    <row r="307" spans="1:12" s="26" customFormat="1" outlineLevel="1">
      <c r="A307" s="216"/>
      <c r="B307" s="258" t="s">
        <v>414</v>
      </c>
      <c r="C307" s="218"/>
      <c r="D307" s="219"/>
      <c r="E307" s="220"/>
      <c r="F307" s="220"/>
      <c r="G307" s="220"/>
      <c r="H307" s="220"/>
      <c r="I307" s="220"/>
      <c r="J307" s="280"/>
      <c r="K307" s="281"/>
      <c r="L307" s="281"/>
    </row>
    <row r="308" spans="1:12" outlineLevel="1">
      <c r="A308" s="216"/>
      <c r="B308" s="217" t="s">
        <v>422</v>
      </c>
      <c r="C308" s="218"/>
      <c r="D308" s="219">
        <v>0.3</v>
      </c>
      <c r="E308" s="220">
        <f>0.8*2.1+1*2.1</f>
        <v>3.7800000000000002</v>
      </c>
      <c r="F308" s="220">
        <v>12.7</v>
      </c>
      <c r="G308" s="220"/>
      <c r="H308" s="220">
        <v>2.6</v>
      </c>
      <c r="I308" s="220">
        <f>F308*H308*D308</f>
        <v>9.9059999999999988</v>
      </c>
      <c r="J308" s="280"/>
      <c r="K308" s="281"/>
      <c r="L308" s="281"/>
    </row>
    <row r="309" spans="1:12" s="26" customFormat="1" outlineLevel="1">
      <c r="A309" s="216"/>
      <c r="B309" s="217" t="s">
        <v>423</v>
      </c>
      <c r="C309" s="218"/>
      <c r="D309" s="219"/>
      <c r="E309" s="220">
        <f>0.6*2.1</f>
        <v>1.26</v>
      </c>
      <c r="F309" s="220">
        <v>1.44</v>
      </c>
      <c r="G309" s="220">
        <v>1.0900000000000001</v>
      </c>
      <c r="H309" s="220">
        <v>2.6</v>
      </c>
      <c r="I309" s="220">
        <f>2*F309*H309+2*G309*H309-E309</f>
        <v>11.896000000000001</v>
      </c>
      <c r="J309" s="280" t="s">
        <v>1168</v>
      </c>
      <c r="K309" s="281"/>
      <c r="L309" s="281"/>
    </row>
    <row r="310" spans="1:12" s="26" customFormat="1" outlineLevel="1">
      <c r="A310" s="216"/>
      <c r="B310" s="217" t="s">
        <v>424</v>
      </c>
      <c r="C310" s="218"/>
      <c r="D310" s="219"/>
      <c r="E310" s="220">
        <f>0.6*2.1</f>
        <v>1.26</v>
      </c>
      <c r="F310" s="220">
        <v>1.44</v>
      </c>
      <c r="G310" s="220">
        <v>1.0900000000000001</v>
      </c>
      <c r="H310" s="220">
        <v>2.6</v>
      </c>
      <c r="I310" s="220">
        <f>2*F310*H310+2*G310*H310-E310</f>
        <v>11.896000000000001</v>
      </c>
      <c r="J310" s="280"/>
      <c r="K310" s="281"/>
      <c r="L310" s="281"/>
    </row>
    <row r="311" spans="1:12" s="26" customFormat="1" outlineLevel="1">
      <c r="A311" s="216"/>
      <c r="B311" s="217" t="s">
        <v>429</v>
      </c>
      <c r="C311" s="218"/>
      <c r="D311" s="219"/>
      <c r="E311" s="220">
        <f>0.9*2.1</f>
        <v>1.8900000000000001</v>
      </c>
      <c r="F311" s="220">
        <v>1.76</v>
      </c>
      <c r="G311" s="220">
        <v>1.75</v>
      </c>
      <c r="H311" s="220">
        <v>2.6</v>
      </c>
      <c r="I311" s="220">
        <f>2*F311*H311+2*G311*H311-E311</f>
        <v>16.362000000000002</v>
      </c>
      <c r="J311" s="280"/>
      <c r="K311" s="281"/>
      <c r="L311" s="281"/>
    </row>
    <row r="312" spans="1:12" s="26" customFormat="1" outlineLevel="1">
      <c r="A312" s="221"/>
      <c r="B312" s="259"/>
      <c r="C312" s="223"/>
      <c r="D312" s="224"/>
      <c r="E312" s="225"/>
      <c r="F312" s="225"/>
      <c r="G312" s="225"/>
      <c r="H312" s="225"/>
      <c r="I312" s="225"/>
      <c r="J312" s="280" t="s">
        <v>1168</v>
      </c>
      <c r="K312" s="281"/>
      <c r="L312" s="281"/>
    </row>
    <row r="313" spans="1:12" ht="31.5" outlineLevel="1">
      <c r="A313" s="210" t="s">
        <v>57</v>
      </c>
      <c r="B313" s="211" t="s">
        <v>120</v>
      </c>
      <c r="C313" s="212" t="s">
        <v>4</v>
      </c>
      <c r="D313" s="213"/>
      <c r="E313" s="214"/>
      <c r="F313" s="214"/>
      <c r="G313" s="214"/>
      <c r="H313" s="214"/>
      <c r="I313" s="215">
        <f>SUM(I314:I325)</f>
        <v>89.602000000000004</v>
      </c>
      <c r="J313" s="280"/>
      <c r="K313" s="281"/>
      <c r="L313" s="281"/>
    </row>
    <row r="314" spans="1:12" outlineLevel="1">
      <c r="A314" s="216"/>
      <c r="B314" s="258" t="s">
        <v>412</v>
      </c>
      <c r="C314" s="218"/>
      <c r="D314" s="219"/>
      <c r="E314" s="220"/>
      <c r="F314" s="220"/>
      <c r="G314" s="220"/>
      <c r="H314" s="220"/>
      <c r="I314" s="220"/>
      <c r="J314" s="280"/>
      <c r="K314" s="281"/>
      <c r="L314" s="281"/>
    </row>
    <row r="315" spans="1:12" outlineLevel="1">
      <c r="A315" s="216"/>
      <c r="B315" s="217" t="s">
        <v>860</v>
      </c>
      <c r="C315" s="218"/>
      <c r="D315" s="219"/>
      <c r="E315" s="220"/>
      <c r="F315" s="220"/>
      <c r="G315" s="220"/>
      <c r="H315" s="220"/>
      <c r="I315" s="220">
        <v>1</v>
      </c>
      <c r="J315" s="280" t="s">
        <v>1168</v>
      </c>
      <c r="K315" s="281"/>
      <c r="L315" s="281"/>
    </row>
    <row r="316" spans="1:12" s="26" customFormat="1" outlineLevel="1">
      <c r="A316" s="216"/>
      <c r="B316" s="258" t="s">
        <v>413</v>
      </c>
      <c r="C316" s="218"/>
      <c r="D316" s="219"/>
      <c r="E316" s="220"/>
      <c r="F316" s="220"/>
      <c r="G316" s="220"/>
      <c r="H316" s="220"/>
      <c r="I316" s="220"/>
      <c r="J316" s="280"/>
      <c r="K316" s="281"/>
      <c r="L316" s="281"/>
    </row>
    <row r="317" spans="1:12" s="26" customFormat="1" outlineLevel="1">
      <c r="A317" s="216"/>
      <c r="B317" s="217" t="s">
        <v>423</v>
      </c>
      <c r="C317" s="218"/>
      <c r="D317" s="219"/>
      <c r="E317" s="220">
        <f>0.6*2.1</f>
        <v>1.26</v>
      </c>
      <c r="F317" s="220">
        <v>1.44</v>
      </c>
      <c r="G317" s="220">
        <v>1.0900000000000001</v>
      </c>
      <c r="H317" s="220">
        <v>2.6</v>
      </c>
      <c r="I317" s="220">
        <f>2*F317*H317+2*G317*H317-E317</f>
        <v>11.896000000000001</v>
      </c>
      <c r="J317" s="280"/>
      <c r="K317" s="281"/>
      <c r="L317" s="281"/>
    </row>
    <row r="318" spans="1:12" s="26" customFormat="1" outlineLevel="1">
      <c r="A318" s="216"/>
      <c r="B318" s="217" t="s">
        <v>424</v>
      </c>
      <c r="C318" s="218"/>
      <c r="D318" s="219"/>
      <c r="E318" s="220">
        <f>0.6*2.1</f>
        <v>1.26</v>
      </c>
      <c r="F318" s="220">
        <v>1.44</v>
      </c>
      <c r="G318" s="220">
        <v>1.0900000000000001</v>
      </c>
      <c r="H318" s="220">
        <v>2.6</v>
      </c>
      <c r="I318" s="220">
        <f>2*F318*H318+2*G318*H318-E318</f>
        <v>11.896000000000001</v>
      </c>
      <c r="J318" s="280" t="s">
        <v>1168</v>
      </c>
      <c r="K318" s="281"/>
      <c r="L318" s="281"/>
    </row>
    <row r="319" spans="1:12" s="26" customFormat="1" outlineLevel="1">
      <c r="A319" s="216"/>
      <c r="B319" s="217" t="s">
        <v>429</v>
      </c>
      <c r="C319" s="218"/>
      <c r="D319" s="219"/>
      <c r="E319" s="220">
        <f>0.9*2.1</f>
        <v>1.8900000000000001</v>
      </c>
      <c r="F319" s="220">
        <v>1.76</v>
      </c>
      <c r="G319" s="220">
        <v>1.8</v>
      </c>
      <c r="H319" s="220">
        <v>2.6</v>
      </c>
      <c r="I319" s="220">
        <f>2*F319*H319+2*G319*H319-E319</f>
        <v>16.622</v>
      </c>
      <c r="J319" s="280"/>
      <c r="K319" s="281"/>
      <c r="L319" s="281"/>
    </row>
    <row r="320" spans="1:12" s="26" customFormat="1" outlineLevel="1">
      <c r="A320" s="216"/>
      <c r="B320" s="217" t="s">
        <v>163</v>
      </c>
      <c r="C320" s="218"/>
      <c r="D320" s="219"/>
      <c r="E320" s="220"/>
      <c r="F320" s="220">
        <v>3.09</v>
      </c>
      <c r="G320" s="262"/>
      <c r="H320" s="220">
        <v>2.6</v>
      </c>
      <c r="I320" s="220">
        <f>F320*H320</f>
        <v>8.0340000000000007</v>
      </c>
      <c r="J320" s="280"/>
      <c r="K320" s="281"/>
      <c r="L320" s="281"/>
    </row>
    <row r="321" spans="1:13" s="26" customFormat="1" outlineLevel="1">
      <c r="A321" s="216"/>
      <c r="B321" s="258" t="s">
        <v>414</v>
      </c>
      <c r="C321" s="218"/>
      <c r="D321" s="219"/>
      <c r="E321" s="220"/>
      <c r="F321" s="220"/>
      <c r="G321" s="220"/>
      <c r="H321" s="220"/>
      <c r="I321" s="220"/>
      <c r="J321" s="280" t="s">
        <v>1168</v>
      </c>
      <c r="K321" s="281"/>
      <c r="L321" s="281"/>
    </row>
    <row r="322" spans="1:13" s="26" customFormat="1" outlineLevel="1">
      <c r="A322" s="216"/>
      <c r="B322" s="217" t="s">
        <v>423</v>
      </c>
      <c r="C322" s="218"/>
      <c r="D322" s="219"/>
      <c r="E322" s="220">
        <f>0.6*2.1</f>
        <v>1.26</v>
      </c>
      <c r="F322" s="220">
        <v>1.44</v>
      </c>
      <c r="G322" s="220">
        <v>1.0900000000000001</v>
      </c>
      <c r="H322" s="220">
        <v>2.6</v>
      </c>
      <c r="I322" s="220">
        <f>2*F322*H322+2*G322*H322-E322</f>
        <v>11.896000000000001</v>
      </c>
      <c r="J322" s="280"/>
      <c r="K322" s="281"/>
      <c r="L322" s="281"/>
    </row>
    <row r="323" spans="1:13" s="26" customFormat="1" outlineLevel="1">
      <c r="A323" s="216"/>
      <c r="B323" s="217" t="s">
        <v>424</v>
      </c>
      <c r="C323" s="218"/>
      <c r="D323" s="219"/>
      <c r="E323" s="220">
        <f>0.6*2.1</f>
        <v>1.26</v>
      </c>
      <c r="F323" s="220">
        <v>1.44</v>
      </c>
      <c r="G323" s="220">
        <v>1.0900000000000001</v>
      </c>
      <c r="H323" s="220">
        <v>2.6</v>
      </c>
      <c r="I323" s="220">
        <f>2*F323*H323+2*G323*H323-E323</f>
        <v>11.896000000000001</v>
      </c>
      <c r="J323" s="280"/>
      <c r="K323" s="281"/>
      <c r="L323" s="281"/>
    </row>
    <row r="324" spans="1:13" s="26" customFormat="1" outlineLevel="1">
      <c r="A324" s="216"/>
      <c r="B324" s="217" t="s">
        <v>429</v>
      </c>
      <c r="C324" s="218"/>
      <c r="D324" s="219"/>
      <c r="E324" s="220">
        <f>0.9*2.1</f>
        <v>1.8900000000000001</v>
      </c>
      <c r="F324" s="220">
        <v>1.76</v>
      </c>
      <c r="G324" s="220">
        <v>1.75</v>
      </c>
      <c r="H324" s="220">
        <v>2.6</v>
      </c>
      <c r="I324" s="220">
        <f>2*F324*H324+2*G324*H324-E324</f>
        <v>16.362000000000002</v>
      </c>
      <c r="J324" s="280" t="s">
        <v>1168</v>
      </c>
      <c r="K324" s="281"/>
      <c r="L324" s="281"/>
    </row>
    <row r="325" spans="1:13" s="26" customFormat="1" outlineLevel="1">
      <c r="A325" s="221"/>
      <c r="B325" s="259"/>
      <c r="C325" s="223"/>
      <c r="D325" s="224"/>
      <c r="E325" s="225"/>
      <c r="F325" s="225"/>
      <c r="G325" s="225"/>
      <c r="H325" s="225"/>
      <c r="I325" s="225"/>
      <c r="J325" s="280"/>
      <c r="K325" s="281"/>
      <c r="L325" s="281"/>
    </row>
    <row r="326" spans="1:13" s="26" customFormat="1" ht="31.5" outlineLevel="1">
      <c r="A326" s="210" t="s">
        <v>58</v>
      </c>
      <c r="B326" s="239" t="s">
        <v>307</v>
      </c>
      <c r="C326" s="243" t="s">
        <v>4</v>
      </c>
      <c r="D326" s="244"/>
      <c r="E326" s="263" t="s">
        <v>487</v>
      </c>
      <c r="F326" s="264"/>
      <c r="G326" s="264"/>
      <c r="H326" s="264"/>
      <c r="I326" s="215">
        <f>SUM(I327:I342)</f>
        <v>81.995159999999998</v>
      </c>
      <c r="J326" s="280"/>
      <c r="K326" s="281"/>
      <c r="L326" s="281"/>
    </row>
    <row r="327" spans="1:13" s="26" customFormat="1" outlineLevel="1">
      <c r="A327" s="240"/>
      <c r="B327" s="241" t="s">
        <v>411</v>
      </c>
      <c r="C327" s="245"/>
      <c r="D327" s="246"/>
      <c r="E327" s="251"/>
      <c r="F327" s="251"/>
      <c r="G327" s="251"/>
      <c r="H327" s="251"/>
      <c r="I327" s="251"/>
      <c r="J327" s="280" t="s">
        <v>1168</v>
      </c>
      <c r="K327" s="281"/>
      <c r="L327" s="281"/>
    </row>
    <row r="328" spans="1:13" s="26" customFormat="1" outlineLevel="1">
      <c r="A328" s="216"/>
      <c r="B328" s="217" t="s">
        <v>482</v>
      </c>
      <c r="C328" s="218"/>
      <c r="D328" s="219">
        <v>0.3</v>
      </c>
      <c r="E328" s="220"/>
      <c r="F328" s="220">
        <v>29.58</v>
      </c>
      <c r="G328" s="220"/>
      <c r="H328" s="220">
        <v>2.6</v>
      </c>
      <c r="I328" s="220">
        <f>F328*H328*D328</f>
        <v>23.072399999999998</v>
      </c>
      <c r="J328" s="280"/>
      <c r="K328" s="281"/>
      <c r="L328" s="281"/>
      <c r="M328" s="33"/>
    </row>
    <row r="329" spans="1:13" outlineLevel="1">
      <c r="A329" s="216"/>
      <c r="B329" s="258" t="s">
        <v>412</v>
      </c>
      <c r="C329" s="218"/>
      <c r="D329" s="219"/>
      <c r="E329" s="220"/>
      <c r="F329" s="220"/>
      <c r="G329" s="220"/>
      <c r="H329" s="220"/>
      <c r="I329" s="220"/>
      <c r="J329" s="280"/>
      <c r="K329" s="281"/>
      <c r="L329" s="281"/>
    </row>
    <row r="330" spans="1:13" outlineLevel="1">
      <c r="A330" s="216"/>
      <c r="B330" s="217" t="s">
        <v>483</v>
      </c>
      <c r="C330" s="218"/>
      <c r="D330" s="219">
        <v>0.3</v>
      </c>
      <c r="E330" s="220"/>
      <c r="F330" s="220">
        <f>7.24+4.95</f>
        <v>12.190000000000001</v>
      </c>
      <c r="G330" s="220"/>
      <c r="H330" s="220">
        <v>1.08</v>
      </c>
      <c r="I330" s="220">
        <f>F330*H330*D330</f>
        <v>3.9495600000000004</v>
      </c>
      <c r="J330" s="280" t="s">
        <v>1168</v>
      </c>
      <c r="K330" s="281"/>
      <c r="L330" s="281"/>
    </row>
    <row r="331" spans="1:13" outlineLevel="1">
      <c r="A331" s="216"/>
      <c r="B331" s="217" t="s">
        <v>483</v>
      </c>
      <c r="C331" s="218"/>
      <c r="D331" s="219">
        <v>0.3</v>
      </c>
      <c r="E331" s="220">
        <f>0.8*2.1</f>
        <v>1.6800000000000002</v>
      </c>
      <c r="F331" s="220">
        <f>1.63+14.38</f>
        <v>16.010000000000002</v>
      </c>
      <c r="G331" s="220"/>
      <c r="H331" s="220">
        <v>2.6</v>
      </c>
      <c r="I331" s="220">
        <f t="shared" ref="I331:I337" si="17">F331*H331*D331</f>
        <v>12.487800000000002</v>
      </c>
      <c r="J331" s="280"/>
      <c r="K331" s="281"/>
      <c r="L331" s="281"/>
    </row>
    <row r="332" spans="1:13" outlineLevel="1">
      <c r="A332" s="216"/>
      <c r="B332" s="217" t="s">
        <v>484</v>
      </c>
      <c r="C332" s="218"/>
      <c r="D332" s="219">
        <v>0.3</v>
      </c>
      <c r="E332" s="220"/>
      <c r="F332" s="220">
        <v>2.0699999999999998</v>
      </c>
      <c r="G332" s="220"/>
      <c r="H332" s="220">
        <v>1.08</v>
      </c>
      <c r="I332" s="220">
        <f t="shared" si="17"/>
        <v>0.67067999999999994</v>
      </c>
      <c r="J332" s="280"/>
      <c r="K332" s="281"/>
      <c r="L332" s="281"/>
    </row>
    <row r="333" spans="1:13" outlineLevel="1">
      <c r="A333" s="216"/>
      <c r="B333" s="217" t="s">
        <v>484</v>
      </c>
      <c r="C333" s="218"/>
      <c r="D333" s="219">
        <v>0.3</v>
      </c>
      <c r="E333" s="220">
        <f>0.7*2.1</f>
        <v>1.47</v>
      </c>
      <c r="F333" s="220">
        <v>8.83</v>
      </c>
      <c r="G333" s="220"/>
      <c r="H333" s="220">
        <v>2.6</v>
      </c>
      <c r="I333" s="220">
        <f t="shared" si="17"/>
        <v>6.8874000000000004</v>
      </c>
      <c r="J333" s="280" t="s">
        <v>1168</v>
      </c>
      <c r="K333" s="281"/>
      <c r="L333" s="281"/>
    </row>
    <row r="334" spans="1:13" outlineLevel="1">
      <c r="A334" s="216"/>
      <c r="B334" s="217" t="s">
        <v>485</v>
      </c>
      <c r="C334" s="218"/>
      <c r="D334" s="219">
        <v>0.3</v>
      </c>
      <c r="E334" s="220"/>
      <c r="F334" s="220">
        <v>2.5299999999999998</v>
      </c>
      <c r="G334" s="220"/>
      <c r="H334" s="220">
        <v>1.08</v>
      </c>
      <c r="I334" s="220">
        <f t="shared" si="17"/>
        <v>0.81972</v>
      </c>
      <c r="J334" s="280"/>
      <c r="K334" s="281"/>
      <c r="L334" s="281"/>
    </row>
    <row r="335" spans="1:13" outlineLevel="1">
      <c r="A335" s="216"/>
      <c r="B335" s="217" t="s">
        <v>485</v>
      </c>
      <c r="C335" s="218"/>
      <c r="D335" s="219">
        <v>0.3</v>
      </c>
      <c r="E335" s="220">
        <f>0.8*2.1</f>
        <v>1.6800000000000002</v>
      </c>
      <c r="F335" s="220">
        <v>8.1300000000000008</v>
      </c>
      <c r="G335" s="220"/>
      <c r="H335" s="220">
        <v>2.6</v>
      </c>
      <c r="I335" s="220">
        <f t="shared" si="17"/>
        <v>6.3414000000000001</v>
      </c>
      <c r="J335" s="280"/>
      <c r="K335" s="281"/>
      <c r="L335" s="281"/>
    </row>
    <row r="336" spans="1:13" outlineLevel="1">
      <c r="A336" s="216"/>
      <c r="B336" s="261" t="s">
        <v>486</v>
      </c>
      <c r="C336" s="218"/>
      <c r="D336" s="219">
        <v>0.3</v>
      </c>
      <c r="E336" s="220"/>
      <c r="F336" s="220">
        <v>4.4000000000000004</v>
      </c>
      <c r="G336" s="220"/>
      <c r="H336" s="220">
        <v>1.08</v>
      </c>
      <c r="I336" s="220">
        <f t="shared" si="17"/>
        <v>1.4256000000000002</v>
      </c>
      <c r="J336" s="280" t="s">
        <v>1168</v>
      </c>
      <c r="K336" s="281"/>
      <c r="L336" s="281"/>
    </row>
    <row r="337" spans="1:12" outlineLevel="1">
      <c r="A337" s="216"/>
      <c r="B337" s="261" t="s">
        <v>486</v>
      </c>
      <c r="C337" s="218"/>
      <c r="D337" s="219">
        <v>0.3</v>
      </c>
      <c r="E337" s="220"/>
      <c r="F337" s="220">
        <f>4.75+3.62</f>
        <v>8.370000000000001</v>
      </c>
      <c r="G337" s="220"/>
      <c r="H337" s="220">
        <v>2.6</v>
      </c>
      <c r="I337" s="220">
        <f t="shared" si="17"/>
        <v>6.5286000000000008</v>
      </c>
      <c r="J337" s="280"/>
      <c r="K337" s="281"/>
      <c r="L337" s="281"/>
    </row>
    <row r="338" spans="1:12" outlineLevel="1">
      <c r="A338" s="216"/>
      <c r="B338" s="258" t="s">
        <v>413</v>
      </c>
      <c r="C338" s="218"/>
      <c r="D338" s="219"/>
      <c r="E338" s="220"/>
      <c r="F338" s="220"/>
      <c r="G338" s="220"/>
      <c r="H338" s="220"/>
      <c r="I338" s="220"/>
      <c r="J338" s="280"/>
      <c r="K338" s="281"/>
      <c r="L338" s="281"/>
    </row>
    <row r="339" spans="1:12" outlineLevel="1">
      <c r="A339" s="216"/>
      <c r="B339" s="217" t="s">
        <v>422</v>
      </c>
      <c r="C339" s="218"/>
      <c r="D339" s="219">
        <v>0.3</v>
      </c>
      <c r="E339" s="220">
        <f>0.8*2.1+1*2.1</f>
        <v>3.7800000000000002</v>
      </c>
      <c r="F339" s="220">
        <v>12.7</v>
      </c>
      <c r="G339" s="220"/>
      <c r="H339" s="220">
        <v>2.6</v>
      </c>
      <c r="I339" s="220">
        <f>F339*H339*D339</f>
        <v>9.9059999999999988</v>
      </c>
      <c r="J339" s="280" t="s">
        <v>1168</v>
      </c>
      <c r="K339" s="281"/>
      <c r="L339" s="281"/>
    </row>
    <row r="340" spans="1:12" outlineLevel="1">
      <c r="A340" s="216"/>
      <c r="B340" s="258" t="s">
        <v>414</v>
      </c>
      <c r="C340" s="218"/>
      <c r="D340" s="219"/>
      <c r="E340" s="220"/>
      <c r="F340" s="220"/>
      <c r="G340" s="220"/>
      <c r="H340" s="220"/>
      <c r="I340" s="220"/>
      <c r="J340" s="280"/>
      <c r="K340" s="281"/>
      <c r="L340" s="281"/>
    </row>
    <row r="341" spans="1:12" outlineLevel="1">
      <c r="A341" s="216"/>
      <c r="B341" s="217" t="s">
        <v>422</v>
      </c>
      <c r="C341" s="218"/>
      <c r="D341" s="219">
        <v>0.3</v>
      </c>
      <c r="E341" s="220">
        <f>0.8*2.1+1*2.1</f>
        <v>3.7800000000000002</v>
      </c>
      <c r="F341" s="220">
        <v>12.7</v>
      </c>
      <c r="G341" s="220"/>
      <c r="H341" s="220">
        <v>2.6</v>
      </c>
      <c r="I341" s="220">
        <f>F341*H341*D341</f>
        <v>9.9059999999999988</v>
      </c>
      <c r="J341" s="280"/>
      <c r="K341" s="281"/>
      <c r="L341" s="281"/>
    </row>
    <row r="342" spans="1:12" outlineLevel="1">
      <c r="A342" s="221"/>
      <c r="B342" s="259"/>
      <c r="C342" s="223"/>
      <c r="D342" s="224"/>
      <c r="E342" s="225"/>
      <c r="F342" s="225"/>
      <c r="G342" s="225"/>
      <c r="H342" s="225"/>
      <c r="I342" s="225"/>
      <c r="J342" s="280" t="s">
        <v>1168</v>
      </c>
      <c r="K342" s="281"/>
      <c r="L342" s="281"/>
    </row>
    <row r="343" spans="1:12" s="26" customFormat="1" outlineLevel="1">
      <c r="A343" s="188" t="s">
        <v>188</v>
      </c>
      <c r="B343" s="189" t="s">
        <v>488</v>
      </c>
      <c r="C343" s="233"/>
      <c r="D343" s="234"/>
      <c r="E343" s="235"/>
      <c r="F343" s="235"/>
      <c r="G343" s="235"/>
      <c r="H343" s="235"/>
      <c r="I343" s="236"/>
      <c r="J343" s="280"/>
      <c r="K343" s="281"/>
      <c r="L343" s="281"/>
    </row>
    <row r="344" spans="1:12" ht="47.25" outlineLevel="1">
      <c r="A344" s="210" t="s">
        <v>189</v>
      </c>
      <c r="B344" s="239" t="s">
        <v>489</v>
      </c>
      <c r="C344" s="243" t="s">
        <v>4</v>
      </c>
      <c r="D344" s="244"/>
      <c r="E344" s="214"/>
      <c r="F344" s="214"/>
      <c r="G344" s="214"/>
      <c r="H344" s="214"/>
      <c r="I344" s="215">
        <f>SUM(I345:I347)</f>
        <v>6.0254999999999992</v>
      </c>
      <c r="J344" s="280"/>
      <c r="K344" s="281"/>
      <c r="L344" s="281"/>
    </row>
    <row r="345" spans="1:12" outlineLevel="1">
      <c r="A345" s="240"/>
      <c r="B345" s="241" t="s">
        <v>413</v>
      </c>
      <c r="C345" s="245"/>
      <c r="D345" s="246"/>
      <c r="E345" s="220"/>
      <c r="F345" s="220"/>
      <c r="G345" s="220"/>
      <c r="H345" s="220"/>
      <c r="I345" s="220"/>
      <c r="J345" s="280" t="s">
        <v>1168</v>
      </c>
      <c r="K345" s="281"/>
      <c r="L345" s="281"/>
    </row>
    <row r="346" spans="1:12" outlineLevel="1">
      <c r="A346" s="240"/>
      <c r="B346" s="242" t="s">
        <v>163</v>
      </c>
      <c r="C346" s="245"/>
      <c r="D346" s="246"/>
      <c r="E346" s="220"/>
      <c r="F346" s="220">
        <v>3.09</v>
      </c>
      <c r="G346" s="262"/>
      <c r="H346" s="220">
        <v>1.95</v>
      </c>
      <c r="I346" s="220">
        <f>F346*H346</f>
        <v>6.0254999999999992</v>
      </c>
      <c r="J346" s="280"/>
      <c r="K346" s="281"/>
      <c r="L346" s="281"/>
    </row>
    <row r="347" spans="1:12" s="26" customFormat="1" outlineLevel="1">
      <c r="A347" s="252"/>
      <c r="B347" s="253"/>
      <c r="C347" s="254"/>
      <c r="D347" s="255"/>
      <c r="E347" s="225"/>
      <c r="F347" s="225"/>
      <c r="G347" s="225"/>
      <c r="H347" s="225"/>
      <c r="I347" s="225"/>
      <c r="J347" s="280"/>
      <c r="K347" s="281"/>
      <c r="L347" s="281"/>
    </row>
    <row r="348" spans="1:12" s="26" customFormat="1" ht="47.25" outlineLevel="1">
      <c r="A348" s="210" t="s">
        <v>239</v>
      </c>
      <c r="B348" s="239" t="s">
        <v>490</v>
      </c>
      <c r="C348" s="243" t="s">
        <v>4</v>
      </c>
      <c r="D348" s="244"/>
      <c r="E348" s="263" t="s">
        <v>487</v>
      </c>
      <c r="F348" s="214"/>
      <c r="G348" s="214"/>
      <c r="H348" s="214"/>
      <c r="I348" s="215">
        <f>SUM(I349:I359)</f>
        <v>50.282199999999989</v>
      </c>
      <c r="J348" s="280" t="s">
        <v>1168</v>
      </c>
      <c r="K348" s="281"/>
      <c r="L348" s="281"/>
    </row>
    <row r="349" spans="1:12" outlineLevel="1">
      <c r="A349" s="216"/>
      <c r="B349" s="258" t="s">
        <v>412</v>
      </c>
      <c r="C349" s="218"/>
      <c r="D349" s="219"/>
      <c r="E349" s="220"/>
      <c r="F349" s="220"/>
      <c r="G349" s="220"/>
      <c r="H349" s="220"/>
      <c r="I349" s="220"/>
      <c r="J349" s="280"/>
      <c r="K349" s="281"/>
      <c r="L349" s="281"/>
    </row>
    <row r="350" spans="1:12" outlineLevel="1">
      <c r="A350" s="216"/>
      <c r="B350" s="217" t="s">
        <v>860</v>
      </c>
      <c r="C350" s="218"/>
      <c r="D350" s="219"/>
      <c r="E350" s="220"/>
      <c r="F350" s="220"/>
      <c r="G350" s="220"/>
      <c r="H350" s="220"/>
      <c r="I350" s="220">
        <v>1</v>
      </c>
      <c r="J350" s="280"/>
      <c r="K350" s="281"/>
      <c r="L350" s="281"/>
    </row>
    <row r="351" spans="1:12" s="26" customFormat="1" outlineLevel="1">
      <c r="A351" s="240"/>
      <c r="B351" s="241" t="s">
        <v>413</v>
      </c>
      <c r="C351" s="245"/>
      <c r="D351" s="246"/>
      <c r="E351" s="220"/>
      <c r="F351" s="220"/>
      <c r="G351" s="220"/>
      <c r="H351" s="220"/>
      <c r="I351" s="220"/>
      <c r="J351" s="280" t="s">
        <v>1168</v>
      </c>
      <c r="K351" s="281"/>
      <c r="L351" s="281"/>
    </row>
    <row r="352" spans="1:12" s="26" customFormat="1" outlineLevel="1">
      <c r="A352" s="240"/>
      <c r="B352" s="242" t="s">
        <v>423</v>
      </c>
      <c r="C352" s="245"/>
      <c r="D352" s="246"/>
      <c r="E352" s="220">
        <f>0.6*2.1</f>
        <v>1.26</v>
      </c>
      <c r="F352" s="220">
        <v>1.44</v>
      </c>
      <c r="G352" s="220">
        <v>1.0900000000000001</v>
      </c>
      <c r="H352" s="220">
        <v>1.69</v>
      </c>
      <c r="I352" s="220">
        <f>2*F352*H352+2*G352*H352-E352</f>
        <v>7.2913999999999994</v>
      </c>
      <c r="J352" s="280"/>
      <c r="K352" s="281"/>
      <c r="L352" s="281"/>
    </row>
    <row r="353" spans="1:12" s="26" customFormat="1" outlineLevel="1">
      <c r="A353" s="240"/>
      <c r="B353" s="242" t="s">
        <v>424</v>
      </c>
      <c r="C353" s="245"/>
      <c r="D353" s="246"/>
      <c r="E353" s="220">
        <f>0.6*2.1</f>
        <v>1.26</v>
      </c>
      <c r="F353" s="220">
        <v>1.44</v>
      </c>
      <c r="G353" s="220">
        <v>1.0900000000000001</v>
      </c>
      <c r="H353" s="220">
        <v>1.69</v>
      </c>
      <c r="I353" s="220">
        <f t="shared" ref="I353:I358" si="18">2*F353*H353+2*G353*H353-E353</f>
        <v>7.2913999999999994</v>
      </c>
      <c r="J353" s="280"/>
      <c r="K353" s="281"/>
      <c r="L353" s="281"/>
    </row>
    <row r="354" spans="1:12" s="26" customFormat="1" outlineLevel="1">
      <c r="A354" s="240"/>
      <c r="B354" s="242" t="s">
        <v>429</v>
      </c>
      <c r="C354" s="245"/>
      <c r="D354" s="246"/>
      <c r="E354" s="220">
        <f>0.9*2.1</f>
        <v>1.8900000000000001</v>
      </c>
      <c r="F354" s="220">
        <v>1.76</v>
      </c>
      <c r="G354" s="220">
        <v>1.8</v>
      </c>
      <c r="H354" s="220">
        <v>1.69</v>
      </c>
      <c r="I354" s="220">
        <f t="shared" si="18"/>
        <v>10.142799999999998</v>
      </c>
      <c r="J354" s="280" t="s">
        <v>1168</v>
      </c>
      <c r="K354" s="281"/>
      <c r="L354" s="281"/>
    </row>
    <row r="355" spans="1:12" s="26" customFormat="1" outlineLevel="1">
      <c r="A355" s="240"/>
      <c r="B355" s="241" t="s">
        <v>414</v>
      </c>
      <c r="C355" s="245"/>
      <c r="D355" s="246"/>
      <c r="E355" s="220"/>
      <c r="F355" s="220"/>
      <c r="G355" s="220"/>
      <c r="H355" s="220"/>
      <c r="I355" s="220"/>
      <c r="J355" s="280"/>
      <c r="K355" s="281"/>
      <c r="L355" s="281"/>
    </row>
    <row r="356" spans="1:12" s="26" customFormat="1" outlineLevel="1">
      <c r="A356" s="240"/>
      <c r="B356" s="242" t="s">
        <v>423</v>
      </c>
      <c r="C356" s="245"/>
      <c r="D356" s="246"/>
      <c r="E356" s="220">
        <f>0.6*2.1</f>
        <v>1.26</v>
      </c>
      <c r="F356" s="220">
        <v>1.44</v>
      </c>
      <c r="G356" s="220">
        <v>1.0900000000000001</v>
      </c>
      <c r="H356" s="220">
        <v>1.69</v>
      </c>
      <c r="I356" s="220">
        <f t="shared" si="18"/>
        <v>7.2913999999999994</v>
      </c>
      <c r="J356" s="280"/>
      <c r="K356" s="281"/>
      <c r="L356" s="281"/>
    </row>
    <row r="357" spans="1:12" s="26" customFormat="1" outlineLevel="1">
      <c r="A357" s="240"/>
      <c r="B357" s="242" t="s">
        <v>424</v>
      </c>
      <c r="C357" s="245"/>
      <c r="D357" s="246"/>
      <c r="E357" s="220">
        <f>0.6*2.1</f>
        <v>1.26</v>
      </c>
      <c r="F357" s="220">
        <v>1.44</v>
      </c>
      <c r="G357" s="220">
        <v>1.0900000000000001</v>
      </c>
      <c r="H357" s="220">
        <v>1.69</v>
      </c>
      <c r="I357" s="220">
        <f t="shared" si="18"/>
        <v>7.2913999999999994</v>
      </c>
      <c r="J357" s="280" t="s">
        <v>1168</v>
      </c>
      <c r="K357" s="281"/>
      <c r="L357" s="281"/>
    </row>
    <row r="358" spans="1:12" outlineLevel="1">
      <c r="A358" s="240"/>
      <c r="B358" s="242" t="s">
        <v>429</v>
      </c>
      <c r="C358" s="245"/>
      <c r="D358" s="246"/>
      <c r="E358" s="220">
        <f>0.9*2.1</f>
        <v>1.8900000000000001</v>
      </c>
      <c r="F358" s="220">
        <v>1.76</v>
      </c>
      <c r="G358" s="220">
        <v>1.75</v>
      </c>
      <c r="H358" s="220">
        <v>1.69</v>
      </c>
      <c r="I358" s="220">
        <f t="shared" si="18"/>
        <v>9.9737999999999989</v>
      </c>
      <c r="J358" s="280"/>
      <c r="K358" s="281"/>
      <c r="L358" s="281"/>
    </row>
    <row r="359" spans="1:12" outlineLevel="1">
      <c r="A359" s="252"/>
      <c r="B359" s="253"/>
      <c r="C359" s="254"/>
      <c r="D359" s="255"/>
      <c r="E359" s="225"/>
      <c r="F359" s="225"/>
      <c r="G359" s="225"/>
      <c r="H359" s="225"/>
      <c r="I359" s="225"/>
      <c r="J359" s="280"/>
      <c r="K359" s="281"/>
      <c r="L359" s="281"/>
    </row>
    <row r="360" spans="1:12">
      <c r="A360" s="227" t="s">
        <v>26</v>
      </c>
      <c r="B360" s="228" t="s">
        <v>491</v>
      </c>
      <c r="C360" s="229"/>
      <c r="D360" s="230"/>
      <c r="E360" s="231"/>
      <c r="F360" s="231"/>
      <c r="G360" s="231"/>
      <c r="H360" s="231"/>
      <c r="I360" s="232"/>
      <c r="J360" s="280" t="s">
        <v>1168</v>
      </c>
      <c r="K360" s="281"/>
      <c r="L360" s="281"/>
    </row>
    <row r="361" spans="1:12" outlineLevel="1">
      <c r="A361" s="188" t="s">
        <v>36</v>
      </c>
      <c r="B361" s="189" t="s">
        <v>492</v>
      </c>
      <c r="C361" s="233"/>
      <c r="D361" s="234"/>
      <c r="E361" s="235"/>
      <c r="F361" s="235"/>
      <c r="G361" s="235"/>
      <c r="H361" s="235"/>
      <c r="I361" s="236"/>
      <c r="J361" s="280"/>
      <c r="K361" s="281"/>
      <c r="L361" s="281"/>
    </row>
    <row r="362" spans="1:12" ht="63" outlineLevel="1">
      <c r="A362" s="210" t="s">
        <v>121</v>
      </c>
      <c r="B362" s="239" t="s">
        <v>493</v>
      </c>
      <c r="C362" s="212" t="s">
        <v>226</v>
      </c>
      <c r="D362" s="213"/>
      <c r="E362" s="214"/>
      <c r="F362" s="214"/>
      <c r="G362" s="214"/>
      <c r="H362" s="214"/>
      <c r="I362" s="215">
        <f>SUM(I363:I365)</f>
        <v>1</v>
      </c>
      <c r="J362" s="280"/>
      <c r="K362" s="281"/>
      <c r="L362" s="281"/>
    </row>
    <row r="363" spans="1:12" outlineLevel="1">
      <c r="A363" s="240"/>
      <c r="B363" s="241" t="s">
        <v>412</v>
      </c>
      <c r="C363" s="218"/>
      <c r="D363" s="219"/>
      <c r="E363" s="220"/>
      <c r="F363" s="220"/>
      <c r="G363" s="220"/>
      <c r="H363" s="220"/>
      <c r="I363" s="220"/>
      <c r="J363" s="280" t="s">
        <v>1168</v>
      </c>
      <c r="K363" s="281"/>
      <c r="L363" s="281"/>
    </row>
    <row r="364" spans="1:12" outlineLevel="1">
      <c r="A364" s="240"/>
      <c r="B364" s="242" t="s">
        <v>494</v>
      </c>
      <c r="C364" s="218"/>
      <c r="D364" s="219">
        <v>1</v>
      </c>
      <c r="E364" s="220"/>
      <c r="F364" s="220"/>
      <c r="G364" s="220"/>
      <c r="H364" s="220"/>
      <c r="I364" s="220">
        <f>D364</f>
        <v>1</v>
      </c>
      <c r="J364" s="280"/>
      <c r="K364" s="281"/>
      <c r="L364" s="281"/>
    </row>
    <row r="365" spans="1:12" outlineLevel="1">
      <c r="A365" s="252"/>
      <c r="B365" s="253"/>
      <c r="C365" s="223"/>
      <c r="D365" s="224"/>
      <c r="E365" s="225"/>
      <c r="F365" s="225"/>
      <c r="G365" s="225"/>
      <c r="H365" s="225"/>
      <c r="I365" s="225"/>
      <c r="J365" s="280"/>
      <c r="K365" s="281"/>
      <c r="L365" s="281"/>
    </row>
    <row r="366" spans="1:12" ht="63" outlineLevel="1">
      <c r="A366" s="210" t="s">
        <v>122</v>
      </c>
      <c r="B366" s="239" t="s">
        <v>495</v>
      </c>
      <c r="C366" s="243" t="s">
        <v>226</v>
      </c>
      <c r="D366" s="213"/>
      <c r="E366" s="214"/>
      <c r="F366" s="214"/>
      <c r="G366" s="214"/>
      <c r="H366" s="214"/>
      <c r="I366" s="215">
        <f>SUM(I367:I377)</f>
        <v>7</v>
      </c>
      <c r="J366" s="280" t="s">
        <v>1168</v>
      </c>
      <c r="K366" s="281"/>
      <c r="L366" s="281"/>
    </row>
    <row r="367" spans="1:12" outlineLevel="1">
      <c r="A367" s="240"/>
      <c r="B367" s="241" t="s">
        <v>411</v>
      </c>
      <c r="C367" s="245"/>
      <c r="D367" s="219"/>
      <c r="E367" s="220"/>
      <c r="F367" s="220"/>
      <c r="G367" s="220"/>
      <c r="H367" s="220"/>
      <c r="I367" s="220"/>
      <c r="J367" s="280"/>
      <c r="K367" s="281"/>
      <c r="L367" s="281"/>
    </row>
    <row r="368" spans="1:12" outlineLevel="1">
      <c r="A368" s="240"/>
      <c r="B368" s="242" t="s">
        <v>418</v>
      </c>
      <c r="C368" s="245"/>
      <c r="D368" s="219">
        <v>1</v>
      </c>
      <c r="E368" s="220"/>
      <c r="F368" s="220"/>
      <c r="G368" s="220"/>
      <c r="H368" s="220"/>
      <c r="I368" s="220">
        <f>D368</f>
        <v>1</v>
      </c>
      <c r="J368" s="280"/>
      <c r="K368" s="281"/>
      <c r="L368" s="281"/>
    </row>
    <row r="369" spans="1:12" outlineLevel="1">
      <c r="A369" s="240"/>
      <c r="B369" s="242" t="s">
        <v>426</v>
      </c>
      <c r="C369" s="245"/>
      <c r="D369" s="219">
        <v>1</v>
      </c>
      <c r="E369" s="220"/>
      <c r="F369" s="220"/>
      <c r="G369" s="220"/>
      <c r="H369" s="220"/>
      <c r="I369" s="220">
        <f>D369</f>
        <v>1</v>
      </c>
      <c r="J369" s="280" t="s">
        <v>1168</v>
      </c>
      <c r="K369" s="281"/>
      <c r="L369" s="281"/>
    </row>
    <row r="370" spans="1:12" outlineLevel="1">
      <c r="A370" s="240"/>
      <c r="B370" s="242" t="s">
        <v>419</v>
      </c>
      <c r="C370" s="245"/>
      <c r="D370" s="219">
        <v>1</v>
      </c>
      <c r="E370" s="220"/>
      <c r="F370" s="220"/>
      <c r="G370" s="220"/>
      <c r="H370" s="220"/>
      <c r="I370" s="220">
        <f>D370</f>
        <v>1</v>
      </c>
      <c r="J370" s="280"/>
      <c r="K370" s="281"/>
      <c r="L370" s="281"/>
    </row>
    <row r="371" spans="1:12" outlineLevel="1">
      <c r="A371" s="240"/>
      <c r="B371" s="242" t="s">
        <v>420</v>
      </c>
      <c r="C371" s="245"/>
      <c r="D371" s="219">
        <v>1</v>
      </c>
      <c r="E371" s="220"/>
      <c r="F371" s="220"/>
      <c r="G371" s="220"/>
      <c r="H371" s="220"/>
      <c r="I371" s="220">
        <f>D371</f>
        <v>1</v>
      </c>
      <c r="J371" s="280"/>
      <c r="K371" s="281"/>
      <c r="L371" s="281"/>
    </row>
    <row r="372" spans="1:12" outlineLevel="1">
      <c r="A372" s="240"/>
      <c r="B372" s="242" t="s">
        <v>420</v>
      </c>
      <c r="C372" s="245"/>
      <c r="D372" s="219">
        <v>1</v>
      </c>
      <c r="E372" s="220"/>
      <c r="F372" s="220"/>
      <c r="G372" s="220"/>
      <c r="H372" s="220"/>
      <c r="I372" s="220">
        <f>D372</f>
        <v>1</v>
      </c>
      <c r="J372" s="280" t="s">
        <v>1168</v>
      </c>
      <c r="K372" s="281"/>
      <c r="L372" s="281"/>
    </row>
    <row r="373" spans="1:12" outlineLevel="1">
      <c r="A373" s="240"/>
      <c r="B373" s="241" t="s">
        <v>412</v>
      </c>
      <c r="C373" s="245"/>
      <c r="D373" s="219"/>
      <c r="E373" s="220"/>
      <c r="F373" s="220"/>
      <c r="G373" s="220"/>
      <c r="H373" s="220"/>
      <c r="I373" s="220"/>
      <c r="J373" s="280"/>
      <c r="K373" s="281"/>
      <c r="L373" s="281"/>
    </row>
    <row r="374" spans="1:12" outlineLevel="1">
      <c r="A374" s="240"/>
      <c r="B374" s="242" t="s">
        <v>485</v>
      </c>
      <c r="C374" s="245"/>
      <c r="D374" s="219">
        <v>1</v>
      </c>
      <c r="E374" s="220"/>
      <c r="F374" s="220"/>
      <c r="G374" s="220"/>
      <c r="H374" s="220"/>
      <c r="I374" s="220">
        <f>D374</f>
        <v>1</v>
      </c>
      <c r="J374" s="280"/>
      <c r="K374" s="281"/>
      <c r="L374" s="281"/>
    </row>
    <row r="375" spans="1:12" outlineLevel="1">
      <c r="A375" s="240"/>
      <c r="B375" s="241" t="s">
        <v>413</v>
      </c>
      <c r="C375" s="245"/>
      <c r="D375" s="219"/>
      <c r="E375" s="220"/>
      <c r="F375" s="220"/>
      <c r="G375" s="220"/>
      <c r="H375" s="220"/>
      <c r="I375" s="220"/>
      <c r="J375" s="280" t="s">
        <v>1168</v>
      </c>
      <c r="K375" s="281"/>
      <c r="L375" s="281"/>
    </row>
    <row r="376" spans="1:12" outlineLevel="1">
      <c r="A376" s="240"/>
      <c r="B376" s="242" t="s">
        <v>496</v>
      </c>
      <c r="C376" s="245"/>
      <c r="D376" s="219">
        <v>1</v>
      </c>
      <c r="E376" s="220"/>
      <c r="F376" s="220"/>
      <c r="G376" s="220"/>
      <c r="H376" s="220"/>
      <c r="I376" s="220">
        <f>D376</f>
        <v>1</v>
      </c>
      <c r="J376" s="280"/>
      <c r="K376" s="281"/>
      <c r="L376" s="281"/>
    </row>
    <row r="377" spans="1:12" outlineLevel="1">
      <c r="A377" s="252"/>
      <c r="B377" s="253"/>
      <c r="C377" s="254"/>
      <c r="D377" s="224"/>
      <c r="E377" s="225"/>
      <c r="F377" s="225"/>
      <c r="G377" s="225"/>
      <c r="H377" s="225"/>
      <c r="I377" s="225"/>
      <c r="J377" s="280"/>
      <c r="K377" s="281"/>
      <c r="L377" s="281"/>
    </row>
    <row r="378" spans="1:12" ht="63" outlineLevel="1">
      <c r="A378" s="210" t="s">
        <v>191</v>
      </c>
      <c r="B378" s="239" t="s">
        <v>497</v>
      </c>
      <c r="C378" s="243" t="s">
        <v>226</v>
      </c>
      <c r="D378" s="213"/>
      <c r="E378" s="214"/>
      <c r="F378" s="214"/>
      <c r="G378" s="214"/>
      <c r="H378" s="214"/>
      <c r="I378" s="215">
        <f>SUM(I379:I381)</f>
        <v>1</v>
      </c>
      <c r="J378" s="280" t="s">
        <v>1168</v>
      </c>
      <c r="K378" s="281"/>
      <c r="L378" s="281"/>
    </row>
    <row r="379" spans="1:12" outlineLevel="1">
      <c r="A379" s="240"/>
      <c r="B379" s="241" t="s">
        <v>414</v>
      </c>
      <c r="C379" s="245"/>
      <c r="D379" s="219"/>
      <c r="E379" s="220"/>
      <c r="F379" s="220"/>
      <c r="G379" s="220"/>
      <c r="H379" s="220"/>
      <c r="I379" s="220"/>
      <c r="J379" s="280"/>
      <c r="K379" s="281"/>
      <c r="L379" s="281"/>
    </row>
    <row r="380" spans="1:12" outlineLevel="1">
      <c r="A380" s="240"/>
      <c r="B380" s="242" t="s">
        <v>422</v>
      </c>
      <c r="C380" s="245"/>
      <c r="D380" s="219">
        <v>1</v>
      </c>
      <c r="E380" s="220"/>
      <c r="F380" s="220"/>
      <c r="G380" s="220"/>
      <c r="H380" s="220"/>
      <c r="I380" s="220">
        <f>D380</f>
        <v>1</v>
      </c>
      <c r="J380" s="280"/>
      <c r="K380" s="281"/>
      <c r="L380" s="281"/>
    </row>
    <row r="381" spans="1:12" outlineLevel="1">
      <c r="A381" s="252"/>
      <c r="B381" s="253"/>
      <c r="C381" s="254"/>
      <c r="D381" s="255"/>
      <c r="E381" s="256"/>
      <c r="F381" s="256"/>
      <c r="G381" s="256"/>
      <c r="H381" s="256"/>
      <c r="I381" s="256"/>
      <c r="J381" s="280" t="s">
        <v>1168</v>
      </c>
      <c r="K381" s="281"/>
      <c r="L381" s="281"/>
    </row>
    <row r="382" spans="1:12" ht="63" outlineLevel="1">
      <c r="A382" s="210" t="s">
        <v>193</v>
      </c>
      <c r="B382" s="239" t="s">
        <v>889</v>
      </c>
      <c r="C382" s="243" t="s">
        <v>226</v>
      </c>
      <c r="D382" s="213"/>
      <c r="E382" s="214"/>
      <c r="F382" s="214"/>
      <c r="G382" s="214"/>
      <c r="H382" s="214"/>
      <c r="I382" s="215">
        <f>SUM(I383:I389)</f>
        <v>4</v>
      </c>
      <c r="J382" s="280"/>
      <c r="K382" s="281"/>
      <c r="L382" s="281"/>
    </row>
    <row r="383" spans="1:12" outlineLevel="1">
      <c r="A383" s="240"/>
      <c r="B383" s="241" t="s">
        <v>413</v>
      </c>
      <c r="C383" s="245"/>
      <c r="D383" s="219"/>
      <c r="E383" s="220"/>
      <c r="F383" s="220"/>
      <c r="G383" s="220"/>
      <c r="H383" s="220"/>
      <c r="I383" s="220"/>
      <c r="J383" s="280"/>
      <c r="K383" s="281"/>
      <c r="L383" s="281"/>
    </row>
    <row r="384" spans="1:12" outlineLevel="1">
      <c r="A384" s="240"/>
      <c r="B384" s="242" t="s">
        <v>429</v>
      </c>
      <c r="C384" s="245"/>
      <c r="D384" s="219">
        <v>1</v>
      </c>
      <c r="E384" s="220"/>
      <c r="F384" s="220"/>
      <c r="G384" s="220"/>
      <c r="H384" s="220"/>
      <c r="I384" s="220">
        <f>D384</f>
        <v>1</v>
      </c>
      <c r="J384" s="280" t="s">
        <v>1168</v>
      </c>
      <c r="K384" s="281"/>
      <c r="L384" s="281"/>
    </row>
    <row r="385" spans="1:12" outlineLevel="1">
      <c r="A385" s="240"/>
      <c r="B385" s="242" t="s">
        <v>447</v>
      </c>
      <c r="C385" s="245"/>
      <c r="D385" s="219">
        <v>1</v>
      </c>
      <c r="E385" s="220"/>
      <c r="F385" s="220"/>
      <c r="G385" s="220"/>
      <c r="H385" s="220"/>
      <c r="I385" s="220">
        <f>D385</f>
        <v>1</v>
      </c>
      <c r="J385" s="280"/>
      <c r="K385" s="281"/>
      <c r="L385" s="281"/>
    </row>
    <row r="386" spans="1:12" outlineLevel="1">
      <c r="A386" s="240"/>
      <c r="B386" s="241" t="s">
        <v>414</v>
      </c>
      <c r="C386" s="245"/>
      <c r="D386" s="219"/>
      <c r="E386" s="220"/>
      <c r="F386" s="220"/>
      <c r="G386" s="220"/>
      <c r="H386" s="220"/>
      <c r="I386" s="220"/>
      <c r="J386" s="280"/>
      <c r="K386" s="281"/>
      <c r="L386" s="281"/>
    </row>
    <row r="387" spans="1:12" outlineLevel="1">
      <c r="A387" s="240"/>
      <c r="B387" s="242" t="s">
        <v>498</v>
      </c>
      <c r="C387" s="245"/>
      <c r="D387" s="219">
        <v>1</v>
      </c>
      <c r="E387" s="220"/>
      <c r="F387" s="220"/>
      <c r="G387" s="220"/>
      <c r="H387" s="220"/>
      <c r="I387" s="220">
        <f>D387</f>
        <v>1</v>
      </c>
      <c r="J387" s="280" t="s">
        <v>1168</v>
      </c>
      <c r="K387" s="281"/>
      <c r="L387" s="281"/>
    </row>
    <row r="388" spans="1:12" outlineLevel="1">
      <c r="A388" s="240"/>
      <c r="B388" s="242" t="s">
        <v>447</v>
      </c>
      <c r="C388" s="245"/>
      <c r="D388" s="219">
        <v>1</v>
      </c>
      <c r="E388" s="220"/>
      <c r="F388" s="220"/>
      <c r="G388" s="220"/>
      <c r="H388" s="220"/>
      <c r="I388" s="220">
        <f>D388</f>
        <v>1</v>
      </c>
      <c r="J388" s="280"/>
      <c r="K388" s="281"/>
      <c r="L388" s="281"/>
    </row>
    <row r="389" spans="1:12" outlineLevel="1">
      <c r="A389" s="240"/>
      <c r="B389" s="265"/>
      <c r="C389" s="245"/>
      <c r="D389" s="246"/>
      <c r="E389" s="251"/>
      <c r="F389" s="251"/>
      <c r="G389" s="251"/>
      <c r="H389" s="251"/>
      <c r="I389" s="251"/>
      <c r="J389" s="280"/>
      <c r="K389" s="281"/>
      <c r="L389" s="281"/>
    </row>
    <row r="390" spans="1:12" outlineLevel="1">
      <c r="A390" s="243" t="s">
        <v>295</v>
      </c>
      <c r="B390" s="266" t="s">
        <v>499</v>
      </c>
      <c r="C390" s="243" t="s">
        <v>226</v>
      </c>
      <c r="D390" s="213"/>
      <c r="E390" s="214"/>
      <c r="F390" s="214"/>
      <c r="G390" s="214"/>
      <c r="H390" s="214"/>
      <c r="I390" s="215">
        <f>SUM(I391:I404)</f>
        <v>9</v>
      </c>
      <c r="J390" s="280" t="s">
        <v>1168</v>
      </c>
      <c r="K390" s="281"/>
      <c r="L390" s="281"/>
    </row>
    <row r="391" spans="1:12" outlineLevel="1">
      <c r="A391" s="240"/>
      <c r="B391" s="241" t="s">
        <v>411</v>
      </c>
      <c r="C391" s="245"/>
      <c r="D391" s="220"/>
      <c r="E391" s="220"/>
      <c r="F391" s="220"/>
      <c r="G391" s="220"/>
      <c r="H391" s="220"/>
      <c r="I391" s="220"/>
      <c r="J391" s="280"/>
      <c r="K391" s="281"/>
      <c r="L391" s="281"/>
    </row>
    <row r="392" spans="1:12" outlineLevel="1">
      <c r="A392" s="240"/>
      <c r="B392" s="242" t="s">
        <v>418</v>
      </c>
      <c r="C392" s="245"/>
      <c r="D392" s="220">
        <v>1</v>
      </c>
      <c r="E392" s="220"/>
      <c r="F392" s="220"/>
      <c r="G392" s="220"/>
      <c r="H392" s="220"/>
      <c r="I392" s="220">
        <f>D392</f>
        <v>1</v>
      </c>
      <c r="J392" s="280"/>
      <c r="K392" s="281"/>
      <c r="L392" s="281"/>
    </row>
    <row r="393" spans="1:12" outlineLevel="1">
      <c r="A393" s="240"/>
      <c r="B393" s="242" t="s">
        <v>426</v>
      </c>
      <c r="C393" s="245"/>
      <c r="D393" s="220">
        <v>1</v>
      </c>
      <c r="E393" s="220"/>
      <c r="F393" s="220"/>
      <c r="G393" s="220"/>
      <c r="H393" s="220"/>
      <c r="I393" s="220">
        <f>D393</f>
        <v>1</v>
      </c>
      <c r="J393" s="280" t="s">
        <v>1168</v>
      </c>
      <c r="K393" s="281"/>
      <c r="L393" s="281"/>
    </row>
    <row r="394" spans="1:12" outlineLevel="1">
      <c r="A394" s="240"/>
      <c r="B394" s="242" t="s">
        <v>419</v>
      </c>
      <c r="C394" s="245"/>
      <c r="D394" s="220">
        <v>1</v>
      </c>
      <c r="E394" s="220"/>
      <c r="F394" s="220"/>
      <c r="G394" s="220"/>
      <c r="H394" s="220"/>
      <c r="I394" s="220">
        <f>D394</f>
        <v>1</v>
      </c>
      <c r="J394" s="280"/>
      <c r="K394" s="281"/>
      <c r="L394" s="281"/>
    </row>
    <row r="395" spans="1:12" outlineLevel="1">
      <c r="A395" s="240"/>
      <c r="B395" s="242" t="s">
        <v>420</v>
      </c>
      <c r="C395" s="245"/>
      <c r="D395" s="220">
        <v>1</v>
      </c>
      <c r="E395" s="220"/>
      <c r="F395" s="220"/>
      <c r="G395" s="220"/>
      <c r="H395" s="220"/>
      <c r="I395" s="220">
        <f>D395</f>
        <v>1</v>
      </c>
      <c r="J395" s="280"/>
      <c r="K395" s="281"/>
      <c r="L395" s="281"/>
    </row>
    <row r="396" spans="1:12" outlineLevel="1">
      <c r="A396" s="240"/>
      <c r="B396" s="242" t="s">
        <v>420</v>
      </c>
      <c r="C396" s="245"/>
      <c r="D396" s="220">
        <v>1</v>
      </c>
      <c r="E396" s="220"/>
      <c r="F396" s="220"/>
      <c r="G396" s="220"/>
      <c r="H396" s="220"/>
      <c r="I396" s="220">
        <f>D396</f>
        <v>1</v>
      </c>
      <c r="J396" s="280" t="s">
        <v>1168</v>
      </c>
      <c r="K396" s="281"/>
      <c r="L396" s="281"/>
    </row>
    <row r="397" spans="1:12" outlineLevel="1">
      <c r="A397" s="240"/>
      <c r="B397" s="241" t="s">
        <v>412</v>
      </c>
      <c r="C397" s="245"/>
      <c r="D397" s="220"/>
      <c r="E397" s="220"/>
      <c r="F397" s="220"/>
      <c r="G397" s="220"/>
      <c r="H397" s="220"/>
      <c r="I397" s="220"/>
      <c r="J397" s="280"/>
      <c r="K397" s="281"/>
      <c r="L397" s="281"/>
    </row>
    <row r="398" spans="1:12" outlineLevel="1">
      <c r="A398" s="240"/>
      <c r="B398" s="242" t="s">
        <v>485</v>
      </c>
      <c r="C398" s="245"/>
      <c r="D398" s="220">
        <v>1</v>
      </c>
      <c r="E398" s="220"/>
      <c r="F398" s="220"/>
      <c r="G398" s="220"/>
      <c r="H398" s="220"/>
      <c r="I398" s="220">
        <f>D398</f>
        <v>1</v>
      </c>
      <c r="J398" s="280"/>
      <c r="K398" s="281"/>
      <c r="L398" s="281"/>
    </row>
    <row r="399" spans="1:12" outlineLevel="1">
      <c r="A399" s="240"/>
      <c r="B399" s="242" t="s">
        <v>494</v>
      </c>
      <c r="C399" s="218"/>
      <c r="D399" s="219">
        <v>1</v>
      </c>
      <c r="E399" s="220"/>
      <c r="F399" s="220"/>
      <c r="G399" s="220"/>
      <c r="H399" s="220"/>
      <c r="I399" s="220">
        <f>D399</f>
        <v>1</v>
      </c>
      <c r="J399" s="280" t="s">
        <v>1168</v>
      </c>
      <c r="K399" s="281"/>
      <c r="L399" s="281"/>
    </row>
    <row r="400" spans="1:12" outlineLevel="1">
      <c r="A400" s="240"/>
      <c r="B400" s="241" t="s">
        <v>413</v>
      </c>
      <c r="C400" s="245"/>
      <c r="D400" s="220"/>
      <c r="E400" s="220"/>
      <c r="F400" s="220"/>
      <c r="G400" s="220"/>
      <c r="H400" s="220"/>
      <c r="I400" s="220"/>
      <c r="J400" s="280"/>
      <c r="K400" s="281"/>
      <c r="L400" s="281"/>
    </row>
    <row r="401" spans="1:12" outlineLevel="1">
      <c r="A401" s="240"/>
      <c r="B401" s="242" t="s">
        <v>496</v>
      </c>
      <c r="C401" s="245"/>
      <c r="D401" s="220">
        <v>1</v>
      </c>
      <c r="E401" s="220"/>
      <c r="F401" s="220"/>
      <c r="G401" s="220"/>
      <c r="H401" s="220"/>
      <c r="I401" s="220">
        <f>D401</f>
        <v>1</v>
      </c>
      <c r="J401" s="280"/>
      <c r="K401" s="281"/>
      <c r="L401" s="281"/>
    </row>
    <row r="402" spans="1:12" outlineLevel="1">
      <c r="A402" s="240"/>
      <c r="B402" s="241" t="s">
        <v>414</v>
      </c>
      <c r="C402" s="245"/>
      <c r="D402" s="219"/>
      <c r="E402" s="220"/>
      <c r="F402" s="220"/>
      <c r="G402" s="220"/>
      <c r="H402" s="220"/>
      <c r="I402" s="220"/>
      <c r="J402" s="280" t="s">
        <v>1168</v>
      </c>
      <c r="K402" s="281"/>
      <c r="L402" s="281"/>
    </row>
    <row r="403" spans="1:12" outlineLevel="1">
      <c r="A403" s="240"/>
      <c r="B403" s="242" t="s">
        <v>422</v>
      </c>
      <c r="C403" s="245"/>
      <c r="D403" s="219">
        <v>1</v>
      </c>
      <c r="E403" s="220"/>
      <c r="F403" s="220"/>
      <c r="G403" s="220"/>
      <c r="H403" s="220"/>
      <c r="I403" s="220">
        <f>D403</f>
        <v>1</v>
      </c>
      <c r="J403" s="280"/>
      <c r="K403" s="281"/>
      <c r="L403" s="281"/>
    </row>
    <row r="404" spans="1:12" outlineLevel="1">
      <c r="A404" s="252"/>
      <c r="B404" s="253"/>
      <c r="C404" s="254"/>
      <c r="D404" s="225"/>
      <c r="E404" s="225"/>
      <c r="F404" s="225"/>
      <c r="G404" s="225"/>
      <c r="H404" s="225"/>
      <c r="I404" s="225"/>
      <c r="J404" s="280"/>
      <c r="K404" s="281"/>
      <c r="L404" s="281"/>
    </row>
    <row r="405" spans="1:12">
      <c r="A405" s="227" t="s">
        <v>27</v>
      </c>
      <c r="B405" s="228" t="s">
        <v>112</v>
      </c>
      <c r="C405" s="229"/>
      <c r="D405" s="230"/>
      <c r="E405" s="231"/>
      <c r="F405" s="231"/>
      <c r="G405" s="231"/>
      <c r="H405" s="231"/>
      <c r="I405" s="232"/>
      <c r="J405" s="280" t="s">
        <v>1168</v>
      </c>
      <c r="K405" s="281"/>
      <c r="L405" s="281"/>
    </row>
    <row r="406" spans="1:12" outlineLevel="1">
      <c r="A406" s="257" t="s">
        <v>123</v>
      </c>
      <c r="B406" s="189" t="s">
        <v>500</v>
      </c>
      <c r="C406" s="233"/>
      <c r="D406" s="234"/>
      <c r="E406" s="235"/>
      <c r="F406" s="235"/>
      <c r="G406" s="235"/>
      <c r="H406" s="235"/>
      <c r="I406" s="236"/>
      <c r="J406" s="280"/>
      <c r="K406" s="281"/>
      <c r="L406" s="281"/>
    </row>
    <row r="407" spans="1:12" outlineLevel="1">
      <c r="A407" s="210" t="s">
        <v>124</v>
      </c>
      <c r="B407" s="239" t="s">
        <v>501</v>
      </c>
      <c r="C407" s="243" t="s">
        <v>4</v>
      </c>
      <c r="D407" s="213"/>
      <c r="E407" s="214"/>
      <c r="F407" s="214"/>
      <c r="G407" s="214"/>
      <c r="H407" s="214"/>
      <c r="I407" s="215">
        <f>SUM(I408:I415)</f>
        <v>30.41</v>
      </c>
      <c r="J407" s="280"/>
      <c r="K407" s="281"/>
      <c r="L407" s="281"/>
    </row>
    <row r="408" spans="1:12" outlineLevel="1">
      <c r="A408" s="240"/>
      <c r="B408" s="241" t="s">
        <v>411</v>
      </c>
      <c r="C408" s="245"/>
      <c r="D408" s="219"/>
      <c r="E408" s="220"/>
      <c r="F408" s="220"/>
      <c r="G408" s="220"/>
      <c r="H408" s="220"/>
      <c r="I408" s="220"/>
      <c r="J408" s="280" t="s">
        <v>1168</v>
      </c>
      <c r="K408" s="281"/>
      <c r="L408" s="281"/>
    </row>
    <row r="409" spans="1:12" outlineLevel="1">
      <c r="A409" s="240"/>
      <c r="B409" s="242" t="s">
        <v>427</v>
      </c>
      <c r="C409" s="245"/>
      <c r="D409" s="219"/>
      <c r="E409" s="220">
        <v>5.84</v>
      </c>
      <c r="F409" s="220"/>
      <c r="G409" s="220"/>
      <c r="H409" s="220"/>
      <c r="I409" s="220">
        <f>E409</f>
        <v>5.84</v>
      </c>
      <c r="J409" s="280"/>
      <c r="K409" s="281"/>
      <c r="L409" s="281"/>
    </row>
    <row r="410" spans="1:12" outlineLevel="1">
      <c r="A410" s="240"/>
      <c r="B410" s="242" t="s">
        <v>422</v>
      </c>
      <c r="C410" s="245"/>
      <c r="D410" s="219"/>
      <c r="E410" s="220">
        <v>16.100000000000001</v>
      </c>
      <c r="F410" s="220"/>
      <c r="G410" s="220"/>
      <c r="H410" s="220"/>
      <c r="I410" s="220">
        <f>E410</f>
        <v>16.100000000000001</v>
      </c>
      <c r="J410" s="280"/>
      <c r="K410" s="281"/>
      <c r="L410" s="281"/>
    </row>
    <row r="411" spans="1:12" outlineLevel="1">
      <c r="A411" s="240"/>
      <c r="B411" s="241" t="s">
        <v>413</v>
      </c>
      <c r="C411" s="245"/>
      <c r="D411" s="219"/>
      <c r="E411" s="220"/>
      <c r="F411" s="220"/>
      <c r="G411" s="220"/>
      <c r="H411" s="220"/>
      <c r="I411" s="220"/>
      <c r="J411" s="280" t="s">
        <v>1168</v>
      </c>
      <c r="K411" s="281"/>
      <c r="L411" s="281"/>
    </row>
    <row r="412" spans="1:12" outlineLevel="1">
      <c r="A412" s="240"/>
      <c r="B412" s="242" t="s">
        <v>422</v>
      </c>
      <c r="C412" s="245"/>
      <c r="D412" s="219"/>
      <c r="E412" s="220">
        <v>4.18</v>
      </c>
      <c r="F412" s="220"/>
      <c r="G412" s="220"/>
      <c r="H412" s="220"/>
      <c r="I412" s="220">
        <f>E412</f>
        <v>4.18</v>
      </c>
      <c r="J412" s="280"/>
      <c r="K412" s="281"/>
      <c r="L412" s="281"/>
    </row>
    <row r="413" spans="1:12" outlineLevel="1">
      <c r="A413" s="240"/>
      <c r="B413" s="241" t="s">
        <v>414</v>
      </c>
      <c r="C413" s="245"/>
      <c r="D413" s="219"/>
      <c r="E413" s="220"/>
      <c r="F413" s="220"/>
      <c r="G413" s="220"/>
      <c r="H413" s="220"/>
      <c r="I413" s="220"/>
      <c r="J413" s="280"/>
      <c r="K413" s="281"/>
      <c r="L413" s="281"/>
    </row>
    <row r="414" spans="1:12" outlineLevel="1">
      <c r="A414" s="240"/>
      <c r="B414" s="242" t="s">
        <v>422</v>
      </c>
      <c r="C414" s="245"/>
      <c r="D414" s="219"/>
      <c r="E414" s="220">
        <v>4.29</v>
      </c>
      <c r="F414" s="220"/>
      <c r="G414" s="220"/>
      <c r="H414" s="220"/>
      <c r="I414" s="220">
        <f>E414</f>
        <v>4.29</v>
      </c>
      <c r="J414" s="280" t="s">
        <v>1168</v>
      </c>
      <c r="K414" s="281"/>
      <c r="L414" s="281"/>
    </row>
    <row r="415" spans="1:12" outlineLevel="1">
      <c r="A415" s="252"/>
      <c r="B415" s="267"/>
      <c r="C415" s="254"/>
      <c r="D415" s="224"/>
      <c r="E415" s="225"/>
      <c r="F415" s="225"/>
      <c r="G415" s="225"/>
      <c r="H415" s="225"/>
      <c r="I415" s="225"/>
      <c r="J415" s="280"/>
      <c r="K415" s="281"/>
      <c r="L415" s="281"/>
    </row>
    <row r="416" spans="1:12" outlineLevel="1">
      <c r="A416" s="210" t="s">
        <v>125</v>
      </c>
      <c r="B416" s="239" t="s">
        <v>502</v>
      </c>
      <c r="C416" s="243" t="s">
        <v>4</v>
      </c>
      <c r="D416" s="213"/>
      <c r="E416" s="214"/>
      <c r="F416" s="214"/>
      <c r="G416" s="214"/>
      <c r="H416" s="214"/>
      <c r="I416" s="215">
        <f>SUM(I417:I433)</f>
        <v>113.97039999999997</v>
      </c>
      <c r="J416" s="280"/>
      <c r="K416" s="281"/>
      <c r="L416" s="281"/>
    </row>
    <row r="417" spans="1:12" outlineLevel="1">
      <c r="A417" s="240"/>
      <c r="B417" s="241" t="s">
        <v>412</v>
      </c>
      <c r="C417" s="245"/>
      <c r="D417" s="219"/>
      <c r="E417" s="220"/>
      <c r="F417" s="220"/>
      <c r="G417" s="220"/>
      <c r="H417" s="220"/>
      <c r="I417" s="220"/>
      <c r="J417" s="280" t="s">
        <v>1168</v>
      </c>
      <c r="K417" s="281"/>
      <c r="L417" s="281"/>
    </row>
    <row r="418" spans="1:12" outlineLevel="1">
      <c r="A418" s="240"/>
      <c r="B418" s="242" t="s">
        <v>503</v>
      </c>
      <c r="C418" s="245"/>
      <c r="D418" s="219"/>
      <c r="E418" s="220">
        <v>31.68</v>
      </c>
      <c r="F418" s="220"/>
      <c r="G418" s="220"/>
      <c r="H418" s="220"/>
      <c r="I418" s="220">
        <f>E418</f>
        <v>31.68</v>
      </c>
      <c r="J418" s="280"/>
      <c r="K418" s="281"/>
      <c r="L418" s="281"/>
    </row>
    <row r="419" spans="1:12" outlineLevel="1">
      <c r="A419" s="240"/>
      <c r="B419" s="242" t="s">
        <v>484</v>
      </c>
      <c r="C419" s="245"/>
      <c r="D419" s="219"/>
      <c r="E419" s="220">
        <v>6.9</v>
      </c>
      <c r="F419" s="220"/>
      <c r="G419" s="220"/>
      <c r="H419" s="220"/>
      <c r="I419" s="220">
        <f t="shared" ref="I419:I432" si="19">E419</f>
        <v>6.9</v>
      </c>
      <c r="J419" s="280"/>
      <c r="K419" s="281"/>
      <c r="L419" s="281"/>
    </row>
    <row r="420" spans="1:12" outlineLevel="1">
      <c r="A420" s="240"/>
      <c r="B420" s="242" t="s">
        <v>485</v>
      </c>
      <c r="C420" s="245"/>
      <c r="D420" s="219"/>
      <c r="E420" s="220">
        <f>2.68*2.53</f>
        <v>6.7804000000000002</v>
      </c>
      <c r="F420" s="220"/>
      <c r="G420" s="220"/>
      <c r="H420" s="220"/>
      <c r="I420" s="220">
        <f t="shared" si="19"/>
        <v>6.7804000000000002</v>
      </c>
      <c r="J420" s="280" t="s">
        <v>1168</v>
      </c>
      <c r="K420" s="281"/>
      <c r="L420" s="281"/>
    </row>
    <row r="421" spans="1:12" outlineLevel="1">
      <c r="A421" s="240"/>
      <c r="B421" s="242" t="s">
        <v>486</v>
      </c>
      <c r="C421" s="245"/>
      <c r="D421" s="219"/>
      <c r="E421" s="220">
        <v>11.31</v>
      </c>
      <c r="F421" s="220"/>
      <c r="G421" s="220"/>
      <c r="H421" s="220"/>
      <c r="I421" s="220">
        <f t="shared" si="19"/>
        <v>11.31</v>
      </c>
      <c r="J421" s="280"/>
      <c r="K421" s="281"/>
      <c r="L421" s="281"/>
    </row>
    <row r="422" spans="1:12" outlineLevel="1">
      <c r="A422" s="240"/>
      <c r="B422" s="242" t="s">
        <v>468</v>
      </c>
      <c r="C422" s="245"/>
      <c r="D422" s="219"/>
      <c r="E422" s="220">
        <v>36.14</v>
      </c>
      <c r="F422" s="220"/>
      <c r="G422" s="220"/>
      <c r="H422" s="220"/>
      <c r="I422" s="220">
        <f t="shared" si="19"/>
        <v>36.14</v>
      </c>
      <c r="J422" s="280"/>
      <c r="K422" s="281"/>
      <c r="L422" s="281"/>
    </row>
    <row r="423" spans="1:12" outlineLevel="1">
      <c r="A423" s="240"/>
      <c r="B423" s="242" t="s">
        <v>469</v>
      </c>
      <c r="C423" s="245"/>
      <c r="D423" s="219"/>
      <c r="E423" s="220">
        <v>5.28</v>
      </c>
      <c r="F423" s="220"/>
      <c r="G423" s="220"/>
      <c r="H423" s="220"/>
      <c r="I423" s="220">
        <f t="shared" si="19"/>
        <v>5.28</v>
      </c>
      <c r="J423" s="280" t="s">
        <v>1168</v>
      </c>
      <c r="K423" s="281"/>
      <c r="L423" s="281"/>
    </row>
    <row r="424" spans="1:12" outlineLevel="1">
      <c r="A424" s="240"/>
      <c r="B424" s="242" t="s">
        <v>860</v>
      </c>
      <c r="C424" s="245"/>
      <c r="D424" s="219"/>
      <c r="E424" s="220">
        <v>3.37</v>
      </c>
      <c r="F424" s="220"/>
      <c r="G424" s="220"/>
      <c r="H424" s="220"/>
      <c r="I424" s="220">
        <f t="shared" ref="I424" si="20">E424</f>
        <v>3.37</v>
      </c>
      <c r="J424" s="280"/>
      <c r="K424" s="281"/>
      <c r="L424" s="281"/>
    </row>
    <row r="425" spans="1:12" outlineLevel="1">
      <c r="A425" s="240"/>
      <c r="B425" s="241" t="s">
        <v>413</v>
      </c>
      <c r="C425" s="245"/>
      <c r="D425" s="219"/>
      <c r="E425" s="220"/>
      <c r="F425" s="220"/>
      <c r="G425" s="220"/>
      <c r="H425" s="220"/>
      <c r="I425" s="220"/>
      <c r="J425" s="280"/>
      <c r="K425" s="281"/>
      <c r="L425" s="281"/>
    </row>
    <row r="426" spans="1:12" outlineLevel="1">
      <c r="A426" s="240"/>
      <c r="B426" s="242" t="s">
        <v>423</v>
      </c>
      <c r="C426" s="245"/>
      <c r="D426" s="219"/>
      <c r="E426" s="220">
        <v>1.57</v>
      </c>
      <c r="F426" s="220"/>
      <c r="G426" s="220"/>
      <c r="H426" s="220"/>
      <c r="I426" s="220">
        <f t="shared" si="19"/>
        <v>1.57</v>
      </c>
      <c r="J426" s="280" t="s">
        <v>1168</v>
      </c>
      <c r="K426" s="281"/>
      <c r="L426" s="281"/>
    </row>
    <row r="427" spans="1:12" outlineLevel="1">
      <c r="A427" s="240"/>
      <c r="B427" s="242" t="s">
        <v>424</v>
      </c>
      <c r="C427" s="245"/>
      <c r="D427" s="219"/>
      <c r="E427" s="220">
        <v>1.57</v>
      </c>
      <c r="F427" s="220"/>
      <c r="G427" s="220"/>
      <c r="H427" s="220"/>
      <c r="I427" s="220">
        <f t="shared" si="19"/>
        <v>1.57</v>
      </c>
      <c r="J427" s="280"/>
      <c r="K427" s="281"/>
      <c r="L427" s="281"/>
    </row>
    <row r="428" spans="1:12" outlineLevel="1">
      <c r="A428" s="240"/>
      <c r="B428" s="242" t="s">
        <v>429</v>
      </c>
      <c r="C428" s="245"/>
      <c r="D428" s="219"/>
      <c r="E428" s="220">
        <v>3.16</v>
      </c>
      <c r="F428" s="220"/>
      <c r="G428" s="220"/>
      <c r="H428" s="220"/>
      <c r="I428" s="220">
        <f t="shared" si="19"/>
        <v>3.16</v>
      </c>
      <c r="J428" s="280"/>
      <c r="K428" s="281"/>
      <c r="L428" s="281"/>
    </row>
    <row r="429" spans="1:12" outlineLevel="1">
      <c r="A429" s="240"/>
      <c r="B429" s="241" t="s">
        <v>414</v>
      </c>
      <c r="C429" s="245"/>
      <c r="D429" s="219"/>
      <c r="E429" s="220"/>
      <c r="F429" s="220"/>
      <c r="G429" s="220"/>
      <c r="H429" s="220"/>
      <c r="I429" s="220"/>
      <c r="J429" s="280" t="s">
        <v>1168</v>
      </c>
      <c r="K429" s="281"/>
      <c r="L429" s="281"/>
    </row>
    <row r="430" spans="1:12" outlineLevel="1">
      <c r="A430" s="240"/>
      <c r="B430" s="242" t="s">
        <v>423</v>
      </c>
      <c r="C430" s="245"/>
      <c r="D430" s="219"/>
      <c r="E430" s="220">
        <v>1.57</v>
      </c>
      <c r="F430" s="220"/>
      <c r="G430" s="220"/>
      <c r="H430" s="220"/>
      <c r="I430" s="220">
        <f t="shared" si="19"/>
        <v>1.57</v>
      </c>
      <c r="J430" s="280"/>
      <c r="K430" s="281"/>
      <c r="L430" s="281"/>
    </row>
    <row r="431" spans="1:12" outlineLevel="1">
      <c r="A431" s="240"/>
      <c r="B431" s="242" t="s">
        <v>424</v>
      </c>
      <c r="C431" s="245"/>
      <c r="D431" s="219"/>
      <c r="E431" s="220">
        <v>1.57</v>
      </c>
      <c r="F431" s="220"/>
      <c r="G431" s="220"/>
      <c r="H431" s="220"/>
      <c r="I431" s="220">
        <f t="shared" si="19"/>
        <v>1.57</v>
      </c>
      <c r="J431" s="280"/>
      <c r="K431" s="281"/>
      <c r="L431" s="281"/>
    </row>
    <row r="432" spans="1:12" outlineLevel="1">
      <c r="A432" s="240"/>
      <c r="B432" s="242" t="s">
        <v>429</v>
      </c>
      <c r="C432" s="245"/>
      <c r="D432" s="219"/>
      <c r="E432" s="220">
        <v>3.07</v>
      </c>
      <c r="F432" s="220"/>
      <c r="G432" s="220"/>
      <c r="H432" s="220"/>
      <c r="I432" s="220">
        <f t="shared" si="19"/>
        <v>3.07</v>
      </c>
      <c r="J432" s="280" t="s">
        <v>1168</v>
      </c>
      <c r="K432" s="281"/>
      <c r="L432" s="281"/>
    </row>
    <row r="433" spans="1:12" outlineLevel="1">
      <c r="A433" s="252"/>
      <c r="B433" s="267"/>
      <c r="C433" s="254"/>
      <c r="D433" s="224"/>
      <c r="E433" s="225"/>
      <c r="F433" s="225"/>
      <c r="G433" s="225"/>
      <c r="H433" s="225"/>
      <c r="I433" s="225"/>
      <c r="J433" s="280"/>
      <c r="K433" s="281"/>
      <c r="L433" s="281"/>
    </row>
    <row r="434" spans="1:12" ht="31.5" outlineLevel="1">
      <c r="A434" s="210" t="s">
        <v>126</v>
      </c>
      <c r="B434" s="211" t="s">
        <v>504</v>
      </c>
      <c r="C434" s="212" t="s">
        <v>4</v>
      </c>
      <c r="D434" s="213"/>
      <c r="E434" s="214"/>
      <c r="F434" s="214"/>
      <c r="G434" s="214"/>
      <c r="H434" s="214"/>
      <c r="I434" s="215">
        <f>SUM(I435:I455)</f>
        <v>270.76</v>
      </c>
      <c r="J434" s="280"/>
      <c r="K434" s="281"/>
      <c r="L434" s="281"/>
    </row>
    <row r="435" spans="1:12" outlineLevel="1">
      <c r="A435" s="240"/>
      <c r="B435" s="258" t="s">
        <v>411</v>
      </c>
      <c r="C435" s="218"/>
      <c r="D435" s="219"/>
      <c r="E435" s="220"/>
      <c r="F435" s="220"/>
      <c r="G435" s="220"/>
      <c r="H435" s="220"/>
      <c r="I435" s="220"/>
      <c r="J435" s="280" t="s">
        <v>1168</v>
      </c>
      <c r="K435" s="281"/>
      <c r="L435" s="281"/>
    </row>
    <row r="436" spans="1:12" outlineLevel="1">
      <c r="A436" s="240"/>
      <c r="B436" s="217" t="s">
        <v>505</v>
      </c>
      <c r="C436" s="218"/>
      <c r="D436" s="219"/>
      <c r="E436" s="220">
        <v>13.36</v>
      </c>
      <c r="F436" s="220"/>
      <c r="G436" s="220"/>
      <c r="H436" s="220"/>
      <c r="I436" s="220">
        <f t="shared" ref="I436:I442" si="21">E436</f>
        <v>13.36</v>
      </c>
      <c r="J436" s="280"/>
      <c r="K436" s="281"/>
      <c r="L436" s="281"/>
    </row>
    <row r="437" spans="1:12" outlineLevel="1">
      <c r="A437" s="240"/>
      <c r="B437" s="217" t="s">
        <v>506</v>
      </c>
      <c r="C437" s="218"/>
      <c r="D437" s="219"/>
      <c r="E437" s="220">
        <v>14.95</v>
      </c>
      <c r="F437" s="220"/>
      <c r="G437" s="220"/>
      <c r="H437" s="220"/>
      <c r="I437" s="220">
        <f t="shared" si="21"/>
        <v>14.95</v>
      </c>
      <c r="J437" s="280"/>
      <c r="K437" s="281"/>
      <c r="L437" s="281"/>
    </row>
    <row r="438" spans="1:12" outlineLevel="1">
      <c r="A438" s="240"/>
      <c r="B438" s="217" t="s">
        <v>419</v>
      </c>
      <c r="C438" s="218"/>
      <c r="D438" s="219"/>
      <c r="E438" s="220">
        <v>12.21</v>
      </c>
      <c r="F438" s="220"/>
      <c r="G438" s="220"/>
      <c r="H438" s="220"/>
      <c r="I438" s="220">
        <f t="shared" si="21"/>
        <v>12.21</v>
      </c>
      <c r="J438" s="280" t="s">
        <v>1168</v>
      </c>
      <c r="K438" s="281"/>
      <c r="L438" s="281"/>
    </row>
    <row r="439" spans="1:12" outlineLevel="1">
      <c r="A439" s="240"/>
      <c r="B439" s="217" t="s">
        <v>507</v>
      </c>
      <c r="C439" s="218"/>
      <c r="D439" s="219"/>
      <c r="E439" s="220">
        <v>7.89</v>
      </c>
      <c r="F439" s="220"/>
      <c r="G439" s="220"/>
      <c r="H439" s="220"/>
      <c r="I439" s="220">
        <f t="shared" si="21"/>
        <v>7.89</v>
      </c>
      <c r="J439" s="280"/>
      <c r="K439" s="281"/>
      <c r="L439" s="281"/>
    </row>
    <row r="440" spans="1:12" outlineLevel="1">
      <c r="A440" s="240"/>
      <c r="B440" s="217" t="s">
        <v>508</v>
      </c>
      <c r="C440" s="218"/>
      <c r="D440" s="219"/>
      <c r="E440" s="220">
        <v>7.84</v>
      </c>
      <c r="F440" s="220"/>
      <c r="G440" s="220"/>
      <c r="H440" s="220"/>
      <c r="I440" s="220">
        <f t="shared" si="21"/>
        <v>7.84</v>
      </c>
      <c r="J440" s="280"/>
      <c r="K440" s="281"/>
      <c r="L440" s="281"/>
    </row>
    <row r="441" spans="1:12" outlineLevel="1">
      <c r="A441" s="240"/>
      <c r="B441" s="217" t="s">
        <v>422</v>
      </c>
      <c r="C441" s="218"/>
      <c r="D441" s="219"/>
      <c r="E441" s="220">
        <v>16.100000000000001</v>
      </c>
      <c r="F441" s="220"/>
      <c r="G441" s="220"/>
      <c r="H441" s="220"/>
      <c r="I441" s="220">
        <f t="shared" si="21"/>
        <v>16.100000000000001</v>
      </c>
      <c r="J441" s="280" t="s">
        <v>1168</v>
      </c>
      <c r="K441" s="281"/>
      <c r="L441" s="281"/>
    </row>
    <row r="442" spans="1:12" outlineLevel="1">
      <c r="A442" s="240"/>
      <c r="B442" s="217" t="s">
        <v>509</v>
      </c>
      <c r="C442" s="218"/>
      <c r="D442" s="219"/>
      <c r="E442" s="220">
        <v>39.43</v>
      </c>
      <c r="F442" s="220"/>
      <c r="G442" s="220"/>
      <c r="H442" s="220"/>
      <c r="I442" s="220">
        <f t="shared" si="21"/>
        <v>39.43</v>
      </c>
      <c r="J442" s="280"/>
      <c r="K442" s="281"/>
      <c r="L442" s="281"/>
    </row>
    <row r="443" spans="1:12" outlineLevel="1">
      <c r="A443" s="240"/>
      <c r="B443" s="258" t="s">
        <v>413</v>
      </c>
      <c r="C443" s="218"/>
      <c r="D443" s="219"/>
      <c r="E443" s="220"/>
      <c r="F443" s="220"/>
      <c r="G443" s="220"/>
      <c r="H443" s="220"/>
      <c r="I443" s="220"/>
      <c r="J443" s="280"/>
      <c r="K443" s="281"/>
      <c r="L443" s="281"/>
    </row>
    <row r="444" spans="1:12" s="26" customFormat="1" outlineLevel="1">
      <c r="A444" s="240"/>
      <c r="B444" s="217" t="s">
        <v>510</v>
      </c>
      <c r="C444" s="218"/>
      <c r="D444" s="219"/>
      <c r="E444" s="220">
        <v>10.039999999999999</v>
      </c>
      <c r="F444" s="220"/>
      <c r="G444" s="220"/>
      <c r="H444" s="220"/>
      <c r="I444" s="220">
        <f>E444</f>
        <v>10.039999999999999</v>
      </c>
      <c r="J444" s="280" t="s">
        <v>1168</v>
      </c>
      <c r="K444" s="281"/>
      <c r="L444" s="281"/>
    </row>
    <row r="445" spans="1:12" s="26" customFormat="1" outlineLevel="1">
      <c r="A445" s="240"/>
      <c r="B445" s="217" t="s">
        <v>425</v>
      </c>
      <c r="C445" s="218"/>
      <c r="D445" s="219"/>
      <c r="E445" s="220">
        <v>3.25</v>
      </c>
      <c r="F445" s="220"/>
      <c r="G445" s="220"/>
      <c r="H445" s="220"/>
      <c r="I445" s="220">
        <f>E445</f>
        <v>3.25</v>
      </c>
      <c r="J445" s="280"/>
      <c r="K445" s="281"/>
      <c r="L445" s="281"/>
    </row>
    <row r="446" spans="1:12" s="26" customFormat="1" outlineLevel="1">
      <c r="A446" s="240"/>
      <c r="B446" s="217" t="s">
        <v>428</v>
      </c>
      <c r="C446" s="218"/>
      <c r="D446" s="219"/>
      <c r="E446" s="220">
        <v>28.49</v>
      </c>
      <c r="F446" s="220"/>
      <c r="G446" s="220"/>
      <c r="H446" s="220"/>
      <c r="I446" s="220">
        <f>E446</f>
        <v>28.49</v>
      </c>
      <c r="J446" s="280"/>
      <c r="K446" s="281"/>
      <c r="L446" s="281"/>
    </row>
    <row r="447" spans="1:12" s="26" customFormat="1" outlineLevel="1">
      <c r="A447" s="240"/>
      <c r="B447" s="217" t="s">
        <v>421</v>
      </c>
      <c r="C447" s="218"/>
      <c r="D447" s="219"/>
      <c r="E447" s="220">
        <v>11.28</v>
      </c>
      <c r="F447" s="220"/>
      <c r="G447" s="220"/>
      <c r="H447" s="220"/>
      <c r="I447" s="220">
        <f>E447</f>
        <v>11.28</v>
      </c>
      <c r="J447" s="280" t="s">
        <v>1168</v>
      </c>
      <c r="K447" s="281"/>
      <c r="L447" s="281"/>
    </row>
    <row r="448" spans="1:12" s="26" customFormat="1" outlineLevel="1">
      <c r="A448" s="240"/>
      <c r="B448" s="217" t="s">
        <v>420</v>
      </c>
      <c r="C448" s="218"/>
      <c r="D448" s="219"/>
      <c r="E448" s="220">
        <v>27.38</v>
      </c>
      <c r="F448" s="220"/>
      <c r="G448" s="220"/>
      <c r="H448" s="220"/>
      <c r="I448" s="220">
        <f>E448</f>
        <v>27.38</v>
      </c>
      <c r="J448" s="280"/>
      <c r="K448" s="281"/>
      <c r="L448" s="281"/>
    </row>
    <row r="449" spans="1:12" s="26" customFormat="1" outlineLevel="1">
      <c r="A449" s="240"/>
      <c r="B449" s="258" t="s">
        <v>414</v>
      </c>
      <c r="C449" s="218"/>
      <c r="D449" s="219"/>
      <c r="E449" s="220"/>
      <c r="F449" s="220"/>
      <c r="G449" s="220"/>
      <c r="H449" s="220"/>
      <c r="I449" s="220"/>
      <c r="J449" s="280"/>
      <c r="K449" s="281"/>
      <c r="L449" s="281"/>
    </row>
    <row r="450" spans="1:12" s="26" customFormat="1" outlineLevel="1">
      <c r="A450" s="240"/>
      <c r="B450" s="217" t="s">
        <v>420</v>
      </c>
      <c r="C450" s="218"/>
      <c r="D450" s="219"/>
      <c r="E450" s="220">
        <v>7.34</v>
      </c>
      <c r="F450" s="220"/>
      <c r="G450" s="220"/>
      <c r="H450" s="220"/>
      <c r="I450" s="220">
        <f>E450</f>
        <v>7.34</v>
      </c>
      <c r="J450" s="280" t="s">
        <v>1168</v>
      </c>
      <c r="K450" s="281"/>
      <c r="L450" s="281"/>
    </row>
    <row r="451" spans="1:12" s="26" customFormat="1" outlineLevel="1">
      <c r="A451" s="240"/>
      <c r="B451" s="217" t="s">
        <v>420</v>
      </c>
      <c r="C451" s="218"/>
      <c r="D451" s="219"/>
      <c r="E451" s="220">
        <v>7.19</v>
      </c>
      <c r="F451" s="220"/>
      <c r="G451" s="220"/>
      <c r="H451" s="220"/>
      <c r="I451" s="220">
        <f>E451</f>
        <v>7.19</v>
      </c>
      <c r="J451" s="280"/>
      <c r="K451" s="281"/>
      <c r="L451" s="281"/>
    </row>
    <row r="452" spans="1:12" s="26" customFormat="1" outlineLevel="1">
      <c r="A452" s="240"/>
      <c r="B452" s="217" t="s">
        <v>511</v>
      </c>
      <c r="C452" s="218"/>
      <c r="D452" s="219"/>
      <c r="E452" s="220">
        <v>28.4</v>
      </c>
      <c r="F452" s="220"/>
      <c r="G452" s="220"/>
      <c r="H452" s="220"/>
      <c r="I452" s="220">
        <f>E452</f>
        <v>28.4</v>
      </c>
      <c r="J452" s="280"/>
      <c r="K452" s="281"/>
      <c r="L452" s="281"/>
    </row>
    <row r="453" spans="1:12" s="26" customFormat="1" outlineLevel="1">
      <c r="A453" s="240"/>
      <c r="B453" s="217" t="s">
        <v>473</v>
      </c>
      <c r="C453" s="218"/>
      <c r="D453" s="219"/>
      <c r="E453" s="220">
        <v>8.1199999999999992</v>
      </c>
      <c r="F453" s="220"/>
      <c r="G453" s="220"/>
      <c r="H453" s="220"/>
      <c r="I453" s="220">
        <f>E453</f>
        <v>8.1199999999999992</v>
      </c>
      <c r="J453" s="280" t="s">
        <v>1168</v>
      </c>
      <c r="K453" s="281"/>
      <c r="L453" s="281"/>
    </row>
    <row r="454" spans="1:12" s="26" customFormat="1" outlineLevel="1">
      <c r="A454" s="240"/>
      <c r="B454" s="217" t="s">
        <v>431</v>
      </c>
      <c r="C454" s="218"/>
      <c r="D454" s="219"/>
      <c r="E454" s="220">
        <v>27.49</v>
      </c>
      <c r="F454" s="220"/>
      <c r="G454" s="220"/>
      <c r="H454" s="220"/>
      <c r="I454" s="220">
        <f>E454</f>
        <v>27.49</v>
      </c>
      <c r="J454" s="280"/>
      <c r="K454" s="281"/>
      <c r="L454" s="281"/>
    </row>
    <row r="455" spans="1:12" outlineLevel="1">
      <c r="A455" s="252"/>
      <c r="B455" s="222"/>
      <c r="C455" s="223"/>
      <c r="D455" s="224"/>
      <c r="E455" s="220"/>
      <c r="F455" s="225"/>
      <c r="G455" s="225"/>
      <c r="H455" s="225"/>
      <c r="I455" s="225"/>
      <c r="J455" s="280"/>
      <c r="K455" s="281"/>
      <c r="L455" s="281"/>
    </row>
    <row r="456" spans="1:12">
      <c r="A456" s="227" t="s">
        <v>28</v>
      </c>
      <c r="B456" s="228" t="s">
        <v>861</v>
      </c>
      <c r="C456" s="229"/>
      <c r="D456" s="230"/>
      <c r="E456" s="231"/>
      <c r="F456" s="231"/>
      <c r="G456" s="231"/>
      <c r="H456" s="231"/>
      <c r="I456" s="232"/>
      <c r="J456" s="280" t="s">
        <v>1168</v>
      </c>
      <c r="K456" s="281"/>
      <c r="L456" s="281"/>
    </row>
    <row r="457" spans="1:12" outlineLevel="1">
      <c r="A457" s="188" t="s">
        <v>37</v>
      </c>
      <c r="B457" s="189" t="s">
        <v>512</v>
      </c>
      <c r="C457" s="233"/>
      <c r="D457" s="234"/>
      <c r="E457" s="235"/>
      <c r="F457" s="235"/>
      <c r="G457" s="235"/>
      <c r="H457" s="235"/>
      <c r="I457" s="236"/>
      <c r="J457" s="280"/>
      <c r="K457" s="281"/>
      <c r="L457" s="281"/>
    </row>
    <row r="458" spans="1:12" ht="31.5" outlineLevel="1">
      <c r="A458" s="210" t="s">
        <v>127</v>
      </c>
      <c r="B458" s="239" t="s">
        <v>513</v>
      </c>
      <c r="C458" s="243" t="s">
        <v>4</v>
      </c>
      <c r="D458" s="213"/>
      <c r="E458" s="263" t="s">
        <v>487</v>
      </c>
      <c r="F458" s="214"/>
      <c r="G458" s="214"/>
      <c r="H458" s="214"/>
      <c r="I458" s="215">
        <f>SUM(I459:I488)</f>
        <v>549.85979999999995</v>
      </c>
      <c r="J458" s="280"/>
      <c r="K458" s="281"/>
      <c r="L458" s="281"/>
    </row>
    <row r="459" spans="1:12" outlineLevel="1">
      <c r="A459" s="240"/>
      <c r="B459" s="241" t="s">
        <v>411</v>
      </c>
      <c r="C459" s="245"/>
      <c r="D459" s="219"/>
      <c r="E459" s="220"/>
      <c r="F459" s="220"/>
      <c r="G459" s="220"/>
      <c r="H459" s="220"/>
      <c r="I459" s="220"/>
      <c r="J459" s="280" t="s">
        <v>1168</v>
      </c>
      <c r="K459" s="281"/>
      <c r="L459" s="281"/>
    </row>
    <row r="460" spans="1:12" outlineLevel="1">
      <c r="A460" s="240"/>
      <c r="B460" s="242" t="s">
        <v>418</v>
      </c>
      <c r="C460" s="245"/>
      <c r="D460" s="219"/>
      <c r="E460" s="220">
        <f>0.8*2.1+3.76*1.52</f>
        <v>7.3951999999999991</v>
      </c>
      <c r="F460" s="220">
        <f>3.76+3.2+1.48+0.53+2.34+3.73</f>
        <v>15.04</v>
      </c>
      <c r="G460" s="220"/>
      <c r="H460" s="220">
        <v>2.5499999999999998</v>
      </c>
      <c r="I460" s="220">
        <f>F460*H460-E460</f>
        <v>30.956799999999998</v>
      </c>
      <c r="J460" s="280"/>
      <c r="K460" s="281"/>
      <c r="L460" s="281"/>
    </row>
    <row r="461" spans="1:12" outlineLevel="1">
      <c r="A461" s="240"/>
      <c r="B461" s="242" t="s">
        <v>426</v>
      </c>
      <c r="C461" s="245"/>
      <c r="D461" s="219"/>
      <c r="E461" s="220">
        <f>0.8*2.1+4.1*1.52</f>
        <v>7.911999999999999</v>
      </c>
      <c r="F461" s="220">
        <f>3.73*2+4.1*2</f>
        <v>15.66</v>
      </c>
      <c r="G461" s="220"/>
      <c r="H461" s="220">
        <v>2.5499999999999998</v>
      </c>
      <c r="I461" s="220">
        <f t="shared" ref="I461:I466" si="22">F461*H461-E461</f>
        <v>32.021000000000001</v>
      </c>
      <c r="J461" s="280"/>
      <c r="K461" s="281"/>
      <c r="L461" s="281"/>
    </row>
    <row r="462" spans="1:12" outlineLevel="1">
      <c r="A462" s="240"/>
      <c r="B462" s="242" t="s">
        <v>419</v>
      </c>
      <c r="C462" s="245"/>
      <c r="D462" s="219"/>
      <c r="E462" s="220">
        <f>0.8*2.1+6.54*1.52</f>
        <v>11.620799999999999</v>
      </c>
      <c r="F462" s="220">
        <f>4.44*2+2.75*2</f>
        <v>14.38</v>
      </c>
      <c r="G462" s="220"/>
      <c r="H462" s="220">
        <v>2.5499999999999998</v>
      </c>
      <c r="I462" s="220">
        <f t="shared" si="22"/>
        <v>25.048199999999998</v>
      </c>
      <c r="J462" s="280" t="s">
        <v>1168</v>
      </c>
      <c r="K462" s="281"/>
      <c r="L462" s="281"/>
    </row>
    <row r="463" spans="1:12" outlineLevel="1">
      <c r="A463" s="240"/>
      <c r="B463" s="242" t="s">
        <v>427</v>
      </c>
      <c r="C463" s="245"/>
      <c r="D463" s="219"/>
      <c r="E463" s="220">
        <f>0.8*2.1*2+2.05*1.52</f>
        <v>6.476</v>
      </c>
      <c r="F463" s="220">
        <f>2.85*2+2.05</f>
        <v>7.75</v>
      </c>
      <c r="G463" s="220"/>
      <c r="H463" s="220">
        <v>2.5499999999999998</v>
      </c>
      <c r="I463" s="220">
        <f t="shared" si="22"/>
        <v>13.2865</v>
      </c>
      <c r="J463" s="280"/>
      <c r="K463" s="281"/>
      <c r="L463" s="281"/>
    </row>
    <row r="464" spans="1:12" outlineLevel="1">
      <c r="A464" s="240"/>
      <c r="B464" s="242" t="s">
        <v>420</v>
      </c>
      <c r="C464" s="245"/>
      <c r="D464" s="246"/>
      <c r="E464" s="220">
        <f>0.8*2.1+2.38*1.52</f>
        <v>5.2976000000000001</v>
      </c>
      <c r="F464" s="220">
        <f>2.95+2.35+0.57+0.4+2.38+2.75</f>
        <v>11.400000000000002</v>
      </c>
      <c r="G464" s="220"/>
      <c r="H464" s="220">
        <v>2.5499999999999998</v>
      </c>
      <c r="I464" s="220">
        <f t="shared" si="22"/>
        <v>23.772400000000005</v>
      </c>
      <c r="J464" s="280"/>
      <c r="K464" s="281"/>
      <c r="L464" s="281"/>
    </row>
    <row r="465" spans="1:13" outlineLevel="1">
      <c r="A465" s="240"/>
      <c r="B465" s="242" t="s">
        <v>420</v>
      </c>
      <c r="C465" s="245"/>
      <c r="D465" s="246"/>
      <c r="E465" s="220">
        <f>0.8*2.1+2.2*1.52</f>
        <v>5.0240000000000009</v>
      </c>
      <c r="F465" s="220">
        <f>2.95+2.75+2.2+0.37+0.75+2.38</f>
        <v>11.399999999999999</v>
      </c>
      <c r="G465" s="220"/>
      <c r="H465" s="220">
        <v>2.5499999999999998</v>
      </c>
      <c r="I465" s="220">
        <f t="shared" si="22"/>
        <v>24.045999999999992</v>
      </c>
      <c r="J465" s="280" t="s">
        <v>1168</v>
      </c>
      <c r="K465" s="281"/>
      <c r="L465" s="281"/>
    </row>
    <row r="466" spans="1:13" outlineLevel="1">
      <c r="A466" s="240"/>
      <c r="B466" s="242" t="s">
        <v>422</v>
      </c>
      <c r="C466" s="245"/>
      <c r="D466" s="246"/>
      <c r="E466" s="220">
        <f>0.8*2.1*4+0.6+0.9*2</f>
        <v>9.120000000000001</v>
      </c>
      <c r="F466" s="220">
        <f>6.54-1.2+8.5-2.05+1.2+5.4+0.35+1.87+5.67</f>
        <v>26.28</v>
      </c>
      <c r="G466" s="220"/>
      <c r="H466" s="220">
        <v>2.5499999999999998</v>
      </c>
      <c r="I466" s="220">
        <f t="shared" si="22"/>
        <v>57.893999999999991</v>
      </c>
      <c r="J466" s="280"/>
      <c r="K466" s="281"/>
      <c r="L466" s="281"/>
    </row>
    <row r="467" spans="1:13" outlineLevel="1">
      <c r="A467" s="240"/>
      <c r="B467" s="241" t="s">
        <v>412</v>
      </c>
      <c r="C467" s="245"/>
      <c r="D467" s="246"/>
      <c r="E467" s="220"/>
      <c r="F467" s="220"/>
      <c r="G467" s="220"/>
      <c r="H467" s="220"/>
      <c r="I467" s="220"/>
      <c r="J467" s="280"/>
      <c r="K467" s="281"/>
      <c r="L467" s="281"/>
    </row>
    <row r="468" spans="1:13" outlineLevel="1">
      <c r="A468" s="240"/>
      <c r="B468" s="242" t="s">
        <v>468</v>
      </c>
      <c r="C468" s="245"/>
      <c r="D468" s="246"/>
      <c r="E468" s="220">
        <f>5.48*1.52</f>
        <v>8.329600000000001</v>
      </c>
      <c r="F468" s="220">
        <v>4.5199999999999996</v>
      </c>
      <c r="G468" s="220"/>
      <c r="H468" s="220">
        <v>2.6</v>
      </c>
      <c r="I468" s="220">
        <f>F468*H468</f>
        <v>11.751999999999999</v>
      </c>
      <c r="J468" s="280" t="s">
        <v>1168</v>
      </c>
      <c r="K468" s="281"/>
      <c r="L468" s="281"/>
    </row>
    <row r="469" spans="1:13" outlineLevel="1">
      <c r="A469" s="240"/>
      <c r="B469" s="242" t="s">
        <v>469</v>
      </c>
      <c r="C469" s="245"/>
      <c r="D469" s="246"/>
      <c r="E469" s="220">
        <f>2.8*1.52</f>
        <v>4.2559999999999993</v>
      </c>
      <c r="F469" s="220">
        <f>4.52+2.8</f>
        <v>7.3199999999999994</v>
      </c>
      <c r="G469" s="220"/>
      <c r="H469" s="220">
        <v>2.6</v>
      </c>
      <c r="I469" s="220">
        <f>F469*H469-E469</f>
        <v>14.776</v>
      </c>
      <c r="J469" s="280"/>
      <c r="K469" s="281"/>
      <c r="L469" s="281"/>
    </row>
    <row r="470" spans="1:13" outlineLevel="1">
      <c r="A470" s="240"/>
      <c r="B470" s="241" t="s">
        <v>413</v>
      </c>
      <c r="C470" s="245"/>
      <c r="D470" s="246"/>
      <c r="E470" s="220"/>
      <c r="F470" s="220"/>
      <c r="G470" s="220"/>
      <c r="H470" s="220"/>
      <c r="I470" s="220"/>
      <c r="J470" s="280"/>
      <c r="K470" s="281"/>
      <c r="L470" s="281"/>
    </row>
    <row r="471" spans="1:13" outlineLevel="1">
      <c r="A471" s="240"/>
      <c r="B471" s="242" t="s">
        <v>163</v>
      </c>
      <c r="C471" s="245"/>
      <c r="D471" s="246"/>
      <c r="E471" s="220"/>
      <c r="F471" s="220">
        <v>3.09</v>
      </c>
      <c r="G471" s="262"/>
      <c r="H471" s="220">
        <f>2.6-1.95</f>
        <v>0.65000000000000013</v>
      </c>
      <c r="I471" s="220">
        <f>F471*H471</f>
        <v>2.0085000000000002</v>
      </c>
      <c r="J471" s="280" t="s">
        <v>1168</v>
      </c>
      <c r="K471" s="281"/>
      <c r="L471" s="281"/>
    </row>
    <row r="472" spans="1:13" outlineLevel="1">
      <c r="A472" s="240"/>
      <c r="B472" s="242" t="s">
        <v>163</v>
      </c>
      <c r="C472" s="245"/>
      <c r="D472" s="246"/>
      <c r="E472" s="220">
        <f>1.31*1.52</f>
        <v>1.9912000000000001</v>
      </c>
      <c r="F472" s="220">
        <f>0.68+1.31</f>
        <v>1.9900000000000002</v>
      </c>
      <c r="G472" s="220"/>
      <c r="H472" s="220">
        <v>2.6</v>
      </c>
      <c r="I472" s="220">
        <f>F472*H472-E472</f>
        <v>3.1828000000000003</v>
      </c>
      <c r="J472" s="280"/>
      <c r="K472" s="281"/>
      <c r="L472" s="281"/>
    </row>
    <row r="473" spans="1:13" outlineLevel="1">
      <c r="A473" s="240"/>
      <c r="B473" s="242" t="s">
        <v>425</v>
      </c>
      <c r="C473" s="245"/>
      <c r="D473" s="246"/>
      <c r="E473" s="220">
        <f>2*0.6*2.1+1.2*1.52</f>
        <v>4.3439999999999994</v>
      </c>
      <c r="F473" s="220">
        <v>5.62</v>
      </c>
      <c r="G473" s="220"/>
      <c r="H473" s="220">
        <v>2.6</v>
      </c>
      <c r="I473" s="220">
        <f>F473*H473-E473</f>
        <v>10.268000000000001</v>
      </c>
      <c r="J473" s="280"/>
      <c r="K473" s="281"/>
      <c r="L473" s="281"/>
    </row>
    <row r="474" spans="1:13" outlineLevel="1">
      <c r="A474" s="240"/>
      <c r="B474" s="242" t="s">
        <v>428</v>
      </c>
      <c r="C474" s="245"/>
      <c r="D474" s="246"/>
      <c r="E474" s="220">
        <f>2*0.8*2.1+1.01*1.52</f>
        <v>4.8952000000000009</v>
      </c>
      <c r="F474" s="220">
        <f>12.07+26.45</f>
        <v>38.519999999999996</v>
      </c>
      <c r="G474" s="220"/>
      <c r="H474" s="220">
        <v>2.6</v>
      </c>
      <c r="I474" s="220">
        <f>F474*H474-E474</f>
        <v>95.256799999999984</v>
      </c>
      <c r="J474" s="280" t="s">
        <v>1168</v>
      </c>
      <c r="K474" s="281"/>
      <c r="L474" s="281"/>
    </row>
    <row r="475" spans="1:13" outlineLevel="1">
      <c r="A475" s="240"/>
      <c r="B475" s="242" t="s">
        <v>421</v>
      </c>
      <c r="C475" s="245"/>
      <c r="D475" s="246"/>
      <c r="E475" s="220">
        <f>0.8*2.1+3*0.9*2.1+4.64*1.52</f>
        <v>14.402800000000001</v>
      </c>
      <c r="F475" s="220">
        <v>16.350000000000001</v>
      </c>
      <c r="G475" s="220"/>
      <c r="H475" s="220">
        <v>2.6</v>
      </c>
      <c r="I475" s="220">
        <f>F475*H475-E475</f>
        <v>28.107200000000006</v>
      </c>
      <c r="J475" s="280"/>
      <c r="K475" s="281"/>
      <c r="L475" s="281"/>
      <c r="M475" s="26"/>
    </row>
    <row r="476" spans="1:13" outlineLevel="1">
      <c r="A476" s="240"/>
      <c r="B476" s="242" t="s">
        <v>420</v>
      </c>
      <c r="C476" s="245"/>
      <c r="D476" s="246"/>
      <c r="E476" s="220">
        <f>0.9*2.1+3.82*1.52+5.37*1.52</f>
        <v>15.8588</v>
      </c>
      <c r="F476" s="220">
        <f>23.05-4.19</f>
        <v>18.86</v>
      </c>
      <c r="G476" s="220"/>
      <c r="H476" s="220">
        <v>2.6</v>
      </c>
      <c r="I476" s="220">
        <f>F476*H476-E476</f>
        <v>33.177199999999999</v>
      </c>
      <c r="J476" s="280"/>
      <c r="K476" s="281"/>
      <c r="L476" s="281"/>
      <c r="M476" s="26"/>
    </row>
    <row r="477" spans="1:13" outlineLevel="1">
      <c r="A477" s="240"/>
      <c r="B477" s="242" t="s">
        <v>423</v>
      </c>
      <c r="C477" s="245"/>
      <c r="D477" s="246"/>
      <c r="E477" s="220"/>
      <c r="F477" s="220">
        <v>1.44</v>
      </c>
      <c r="G477" s="220">
        <v>1.0900000000000001</v>
      </c>
      <c r="H477" s="220">
        <f>2.6-1.69</f>
        <v>0.91000000000000014</v>
      </c>
      <c r="I477" s="220">
        <f>2*F477*H477+2*G477*H477-E477</f>
        <v>4.6046000000000014</v>
      </c>
      <c r="J477" s="280" t="s">
        <v>1168</v>
      </c>
      <c r="K477" s="281"/>
      <c r="L477" s="281"/>
      <c r="M477" s="26"/>
    </row>
    <row r="478" spans="1:13" outlineLevel="1">
      <c r="A478" s="240"/>
      <c r="B478" s="242" t="s">
        <v>424</v>
      </c>
      <c r="C478" s="245"/>
      <c r="D478" s="246"/>
      <c r="E478" s="220"/>
      <c r="F478" s="220">
        <v>1.44</v>
      </c>
      <c r="G478" s="220">
        <v>1.0900000000000001</v>
      </c>
      <c r="H478" s="220">
        <f>2.6-1.69</f>
        <v>0.91000000000000014</v>
      </c>
      <c r="I478" s="220">
        <f>2*F478*H478+2*G478*H478-E478</f>
        <v>4.6046000000000014</v>
      </c>
      <c r="J478" s="280"/>
      <c r="K478" s="281"/>
      <c r="L478" s="281"/>
      <c r="M478" s="26"/>
    </row>
    <row r="479" spans="1:13" outlineLevel="1">
      <c r="A479" s="240"/>
      <c r="B479" s="242" t="s">
        <v>429</v>
      </c>
      <c r="C479" s="245"/>
      <c r="D479" s="246"/>
      <c r="E479" s="220"/>
      <c r="F479" s="220">
        <v>1.76</v>
      </c>
      <c r="G479" s="220">
        <v>1.8</v>
      </c>
      <c r="H479" s="220">
        <f>2.6-1.69</f>
        <v>0.91000000000000014</v>
      </c>
      <c r="I479" s="220">
        <f>2*F479*H479+2*G479*H479-E479</f>
        <v>6.4792000000000014</v>
      </c>
      <c r="J479" s="280"/>
      <c r="K479" s="281"/>
      <c r="L479" s="281"/>
      <c r="M479" s="26"/>
    </row>
    <row r="480" spans="1:13" outlineLevel="1">
      <c r="A480" s="240"/>
      <c r="B480" s="241" t="s">
        <v>414</v>
      </c>
      <c r="C480" s="245"/>
      <c r="D480" s="246"/>
      <c r="E480" s="220"/>
      <c r="F480" s="220"/>
      <c r="G480" s="220"/>
      <c r="H480" s="220"/>
      <c r="I480" s="220"/>
      <c r="J480" s="280" t="s">
        <v>1168</v>
      </c>
      <c r="K480" s="281"/>
      <c r="L480" s="281"/>
      <c r="M480" s="26"/>
    </row>
    <row r="481" spans="1:12" outlineLevel="1">
      <c r="A481" s="240"/>
      <c r="B481" s="242" t="s">
        <v>420</v>
      </c>
      <c r="C481" s="245"/>
      <c r="D481" s="246"/>
      <c r="E481" s="220">
        <f>4.75*1.52</f>
        <v>7.22</v>
      </c>
      <c r="F481" s="220">
        <v>5.67</v>
      </c>
      <c r="G481" s="220"/>
      <c r="H481" s="220">
        <v>2.6</v>
      </c>
      <c r="I481" s="220">
        <f>F481*H481-E481</f>
        <v>7.5220000000000011</v>
      </c>
      <c r="J481" s="280"/>
      <c r="K481" s="281"/>
      <c r="L481" s="281"/>
    </row>
    <row r="482" spans="1:12" outlineLevel="1">
      <c r="A482" s="240"/>
      <c r="B482" s="242" t="s">
        <v>420</v>
      </c>
      <c r="C482" s="245"/>
      <c r="D482" s="246"/>
      <c r="E482" s="220">
        <f>(2.75+2.15)*1.52</f>
        <v>7.4480000000000004</v>
      </c>
      <c r="F482" s="220">
        <f>2.75+0.49+0.47+2.15</f>
        <v>5.8599999999999994</v>
      </c>
      <c r="G482" s="220"/>
      <c r="H482" s="220">
        <v>2.6</v>
      </c>
      <c r="I482" s="220">
        <f t="shared" ref="I482:I487" si="23">F482*H482-E482</f>
        <v>7.7879999999999985</v>
      </c>
      <c r="J482" s="280"/>
      <c r="K482" s="281"/>
      <c r="L482" s="281"/>
    </row>
    <row r="483" spans="1:12" outlineLevel="1">
      <c r="A483" s="240"/>
      <c r="B483" s="242" t="s">
        <v>430</v>
      </c>
      <c r="C483" s="245"/>
      <c r="D483" s="246"/>
      <c r="E483" s="220">
        <f>2*0.6*2.1+2*0.9*2.1+((2.71+5+4.67+1.2)*1.52)</f>
        <v>26.941599999999998</v>
      </c>
      <c r="F483" s="220">
        <f>25.94+9.35</f>
        <v>35.29</v>
      </c>
      <c r="G483" s="220"/>
      <c r="H483" s="220">
        <v>2.6</v>
      </c>
      <c r="I483" s="220">
        <f t="shared" si="23"/>
        <v>64.812400000000011</v>
      </c>
      <c r="J483" s="280" t="s">
        <v>1168</v>
      </c>
      <c r="K483" s="281"/>
      <c r="L483" s="281"/>
    </row>
    <row r="484" spans="1:12" outlineLevel="1">
      <c r="A484" s="240"/>
      <c r="B484" s="242" t="s">
        <v>431</v>
      </c>
      <c r="C484" s="245"/>
      <c r="D484" s="246"/>
      <c r="E484" s="220">
        <f>0.9*2.1+((3.61+0.81+0.86+3.76)*1.52)</f>
        <v>15.630799999999999</v>
      </c>
      <c r="F484" s="220">
        <v>23.04</v>
      </c>
      <c r="G484" s="220"/>
      <c r="H484" s="220">
        <v>2.6</v>
      </c>
      <c r="I484" s="220">
        <f t="shared" si="23"/>
        <v>44.273199999999996</v>
      </c>
      <c r="J484" s="280"/>
      <c r="K484" s="281"/>
      <c r="L484" s="281"/>
    </row>
    <row r="485" spans="1:12" outlineLevel="1">
      <c r="A485" s="240"/>
      <c r="B485" s="242" t="s">
        <v>423</v>
      </c>
      <c r="C485" s="245"/>
      <c r="D485" s="246"/>
      <c r="E485" s="220"/>
      <c r="F485" s="220">
        <v>1.44</v>
      </c>
      <c r="G485" s="220">
        <v>1.0900000000000001</v>
      </c>
      <c r="H485" s="220">
        <f>2.6-1.69</f>
        <v>0.91000000000000014</v>
      </c>
      <c r="I485" s="220">
        <f t="shared" si="23"/>
        <v>1.3104000000000002</v>
      </c>
      <c r="J485" s="280"/>
      <c r="K485" s="281"/>
      <c r="L485" s="281"/>
    </row>
    <row r="486" spans="1:12" outlineLevel="1">
      <c r="A486" s="240"/>
      <c r="B486" s="242" t="s">
        <v>424</v>
      </c>
      <c r="C486" s="245"/>
      <c r="D486" s="246"/>
      <c r="E486" s="220"/>
      <c r="F486" s="220">
        <v>1.44</v>
      </c>
      <c r="G486" s="220">
        <v>1.0900000000000001</v>
      </c>
      <c r="H486" s="220">
        <f>2.6-1.69</f>
        <v>0.91000000000000014</v>
      </c>
      <c r="I486" s="220">
        <f t="shared" si="23"/>
        <v>1.3104000000000002</v>
      </c>
      <c r="J486" s="280" t="s">
        <v>1168</v>
      </c>
      <c r="K486" s="281"/>
      <c r="L486" s="281"/>
    </row>
    <row r="487" spans="1:12" outlineLevel="1">
      <c r="A487" s="240"/>
      <c r="B487" s="242" t="s">
        <v>429</v>
      </c>
      <c r="C487" s="245"/>
      <c r="D487" s="246"/>
      <c r="E487" s="220"/>
      <c r="F487" s="220">
        <v>1.76</v>
      </c>
      <c r="G487" s="220">
        <v>1.75</v>
      </c>
      <c r="H487" s="220">
        <f>2.6-1.69</f>
        <v>0.91000000000000014</v>
      </c>
      <c r="I487" s="220">
        <f t="shared" si="23"/>
        <v>1.6016000000000004</v>
      </c>
      <c r="J487" s="280"/>
      <c r="K487" s="281"/>
      <c r="L487" s="281"/>
    </row>
    <row r="488" spans="1:12" outlineLevel="1">
      <c r="A488" s="240"/>
      <c r="B488" s="253"/>
      <c r="C488" s="254"/>
      <c r="D488" s="255"/>
      <c r="E488" s="256"/>
      <c r="F488" s="256"/>
      <c r="G488" s="256"/>
      <c r="H488" s="256"/>
      <c r="I488" s="256"/>
      <c r="J488" s="280"/>
      <c r="K488" s="281"/>
      <c r="L488" s="281"/>
    </row>
    <row r="489" spans="1:12" ht="31.5" outlineLevel="1">
      <c r="A489" s="210" t="s">
        <v>128</v>
      </c>
      <c r="B489" s="239" t="s">
        <v>514</v>
      </c>
      <c r="C489" s="243" t="s">
        <v>4</v>
      </c>
      <c r="D489" s="244"/>
      <c r="E489" s="263" t="s">
        <v>515</v>
      </c>
      <c r="F489" s="214"/>
      <c r="G489" s="214"/>
      <c r="H489" s="214"/>
      <c r="I489" s="215">
        <f>SUM(I490:I519)</f>
        <v>549.85979999999995</v>
      </c>
      <c r="J489" s="280" t="s">
        <v>1168</v>
      </c>
      <c r="K489" s="281"/>
      <c r="L489" s="281"/>
    </row>
    <row r="490" spans="1:12" outlineLevel="1">
      <c r="A490" s="240"/>
      <c r="B490" s="241" t="s">
        <v>411</v>
      </c>
      <c r="C490" s="245"/>
      <c r="D490" s="219"/>
      <c r="E490" s="220"/>
      <c r="F490" s="220"/>
      <c r="G490" s="220"/>
      <c r="H490" s="220"/>
      <c r="I490" s="220"/>
      <c r="J490" s="280"/>
      <c r="K490" s="281"/>
      <c r="L490" s="281"/>
    </row>
    <row r="491" spans="1:12" outlineLevel="1">
      <c r="A491" s="240"/>
      <c r="B491" s="242" t="s">
        <v>418</v>
      </c>
      <c r="C491" s="245"/>
      <c r="D491" s="219"/>
      <c r="E491" s="220">
        <f>0.8*2.1+3.76*1.52</f>
        <v>7.3951999999999991</v>
      </c>
      <c r="F491" s="220">
        <f>3.76+3.2+1.48+0.53+2.34+3.73</f>
        <v>15.04</v>
      </c>
      <c r="G491" s="220"/>
      <c r="H491" s="220">
        <v>2.5499999999999998</v>
      </c>
      <c r="I491" s="220">
        <f>F491*H491-E491</f>
        <v>30.956799999999998</v>
      </c>
      <c r="J491" s="280"/>
      <c r="K491" s="281"/>
      <c r="L491" s="281"/>
    </row>
    <row r="492" spans="1:12" outlineLevel="1">
      <c r="A492" s="240"/>
      <c r="B492" s="242" t="s">
        <v>426</v>
      </c>
      <c r="C492" s="245"/>
      <c r="D492" s="219"/>
      <c r="E492" s="220">
        <f>0.8*2.1+4.1*1.52</f>
        <v>7.911999999999999</v>
      </c>
      <c r="F492" s="220">
        <f>3.73*2+4.1*2</f>
        <v>15.66</v>
      </c>
      <c r="G492" s="220"/>
      <c r="H492" s="220">
        <v>2.5499999999999998</v>
      </c>
      <c r="I492" s="220">
        <f t="shared" ref="I492:I497" si="24">F492*H492-E492</f>
        <v>32.021000000000001</v>
      </c>
      <c r="J492" s="280" t="s">
        <v>1168</v>
      </c>
      <c r="K492" s="281"/>
      <c r="L492" s="281"/>
    </row>
    <row r="493" spans="1:12" outlineLevel="1">
      <c r="A493" s="240"/>
      <c r="B493" s="242" t="s">
        <v>419</v>
      </c>
      <c r="C493" s="245"/>
      <c r="D493" s="219"/>
      <c r="E493" s="220">
        <f>0.8*2.1+6.54*1.52</f>
        <v>11.620799999999999</v>
      </c>
      <c r="F493" s="220">
        <f>4.44*2+2.75*2</f>
        <v>14.38</v>
      </c>
      <c r="G493" s="220"/>
      <c r="H493" s="220">
        <v>2.5499999999999998</v>
      </c>
      <c r="I493" s="220">
        <f t="shared" si="24"/>
        <v>25.048199999999998</v>
      </c>
      <c r="J493" s="280"/>
      <c r="K493" s="281"/>
      <c r="L493" s="281"/>
    </row>
    <row r="494" spans="1:12" outlineLevel="1">
      <c r="A494" s="240"/>
      <c r="B494" s="242" t="s">
        <v>427</v>
      </c>
      <c r="C494" s="245"/>
      <c r="D494" s="219"/>
      <c r="E494" s="220">
        <f>0.8*2.1*2+2.05*1.52</f>
        <v>6.476</v>
      </c>
      <c r="F494" s="220">
        <f>2.85*2+2.05</f>
        <v>7.75</v>
      </c>
      <c r="G494" s="220"/>
      <c r="H494" s="220">
        <v>2.5499999999999998</v>
      </c>
      <c r="I494" s="220">
        <f t="shared" si="24"/>
        <v>13.2865</v>
      </c>
      <c r="J494" s="280"/>
      <c r="K494" s="281"/>
      <c r="L494" s="281"/>
    </row>
    <row r="495" spans="1:12" outlineLevel="1">
      <c r="A495" s="240"/>
      <c r="B495" s="242" t="s">
        <v>420</v>
      </c>
      <c r="C495" s="245"/>
      <c r="D495" s="246"/>
      <c r="E495" s="220">
        <f>0.8*2.1+2.38*1.52</f>
        <v>5.2976000000000001</v>
      </c>
      <c r="F495" s="220">
        <f>2.95+2.35+0.57+0.4+2.38+2.75</f>
        <v>11.400000000000002</v>
      </c>
      <c r="G495" s="220"/>
      <c r="H495" s="220">
        <v>2.5499999999999998</v>
      </c>
      <c r="I495" s="220">
        <f t="shared" si="24"/>
        <v>23.772400000000005</v>
      </c>
      <c r="J495" s="280" t="s">
        <v>1168</v>
      </c>
      <c r="K495" s="281"/>
      <c r="L495" s="281"/>
    </row>
    <row r="496" spans="1:12" outlineLevel="1">
      <c r="A496" s="240"/>
      <c r="B496" s="242" t="s">
        <v>420</v>
      </c>
      <c r="C496" s="245"/>
      <c r="D496" s="246"/>
      <c r="E496" s="220">
        <f>0.8*2.1+2.2*1.52</f>
        <v>5.0240000000000009</v>
      </c>
      <c r="F496" s="220">
        <f>2.95+2.75+2.2+0.37+0.75+2.38</f>
        <v>11.399999999999999</v>
      </c>
      <c r="G496" s="220"/>
      <c r="H496" s="220">
        <v>2.5499999999999998</v>
      </c>
      <c r="I496" s="220">
        <f t="shared" si="24"/>
        <v>24.045999999999992</v>
      </c>
      <c r="J496" s="280"/>
      <c r="K496" s="281"/>
      <c r="L496" s="281"/>
    </row>
    <row r="497" spans="1:13" outlineLevel="1">
      <c r="A497" s="240"/>
      <c r="B497" s="242" t="s">
        <v>422</v>
      </c>
      <c r="C497" s="245"/>
      <c r="D497" s="246"/>
      <c r="E497" s="220">
        <f>0.8*2.1*4+0.6+0.9*2</f>
        <v>9.120000000000001</v>
      </c>
      <c r="F497" s="220">
        <f>6.54-1.2+8.5-2.05+1.2+5.4+0.35+1.87+5.67</f>
        <v>26.28</v>
      </c>
      <c r="G497" s="220"/>
      <c r="H497" s="220">
        <v>2.5499999999999998</v>
      </c>
      <c r="I497" s="220">
        <f t="shared" si="24"/>
        <v>57.893999999999991</v>
      </c>
      <c r="J497" s="280"/>
      <c r="K497" s="281"/>
      <c r="L497" s="281"/>
    </row>
    <row r="498" spans="1:13" outlineLevel="1">
      <c r="A498" s="240"/>
      <c r="B498" s="241" t="s">
        <v>412</v>
      </c>
      <c r="C498" s="245"/>
      <c r="D498" s="246"/>
      <c r="E498" s="220"/>
      <c r="F498" s="220"/>
      <c r="G498" s="220"/>
      <c r="H498" s="220"/>
      <c r="I498" s="220"/>
      <c r="J498" s="280" t="s">
        <v>1168</v>
      </c>
      <c r="K498" s="281"/>
      <c r="L498" s="281"/>
    </row>
    <row r="499" spans="1:13" outlineLevel="1">
      <c r="A499" s="240"/>
      <c r="B499" s="242" t="s">
        <v>468</v>
      </c>
      <c r="C499" s="245"/>
      <c r="D499" s="246"/>
      <c r="E499" s="220">
        <f>5.48*1.52</f>
        <v>8.329600000000001</v>
      </c>
      <c r="F499" s="220">
        <v>4.5199999999999996</v>
      </c>
      <c r="G499" s="220"/>
      <c r="H499" s="220">
        <v>2.6</v>
      </c>
      <c r="I499" s="220">
        <f>F499*H499</f>
        <v>11.751999999999999</v>
      </c>
      <c r="J499" s="280"/>
      <c r="K499" s="281"/>
      <c r="L499" s="281"/>
    </row>
    <row r="500" spans="1:13" outlineLevel="1">
      <c r="A500" s="240"/>
      <c r="B500" s="242" t="s">
        <v>469</v>
      </c>
      <c r="C500" s="245"/>
      <c r="D500" s="246"/>
      <c r="E500" s="220">
        <f>2.8*1.52</f>
        <v>4.2559999999999993</v>
      </c>
      <c r="F500" s="220">
        <f>4.52+2.8</f>
        <v>7.3199999999999994</v>
      </c>
      <c r="G500" s="220"/>
      <c r="H500" s="220">
        <v>2.6</v>
      </c>
      <c r="I500" s="220">
        <f>F500*H500-E500</f>
        <v>14.776</v>
      </c>
      <c r="J500" s="280"/>
      <c r="K500" s="281"/>
      <c r="L500" s="281"/>
    </row>
    <row r="501" spans="1:13" outlineLevel="1">
      <c r="A501" s="240"/>
      <c r="B501" s="241" t="s">
        <v>413</v>
      </c>
      <c r="C501" s="245"/>
      <c r="D501" s="246"/>
      <c r="E501" s="220"/>
      <c r="F501" s="220"/>
      <c r="G501" s="220"/>
      <c r="H501" s="220"/>
      <c r="I501" s="220"/>
      <c r="J501" s="280" t="s">
        <v>1168</v>
      </c>
      <c r="K501" s="281"/>
      <c r="L501" s="281"/>
    </row>
    <row r="502" spans="1:13" outlineLevel="1">
      <c r="A502" s="240"/>
      <c r="B502" s="242" t="s">
        <v>163</v>
      </c>
      <c r="C502" s="245"/>
      <c r="D502" s="246"/>
      <c r="E502" s="220"/>
      <c r="F502" s="220">
        <v>3.09</v>
      </c>
      <c r="G502" s="262"/>
      <c r="H502" s="220">
        <f>2.6-1.95</f>
        <v>0.65000000000000013</v>
      </c>
      <c r="I502" s="220">
        <f>F502*H502</f>
        <v>2.0085000000000002</v>
      </c>
      <c r="J502" s="280"/>
      <c r="K502" s="281"/>
      <c r="L502" s="281"/>
    </row>
    <row r="503" spans="1:13" outlineLevel="1">
      <c r="A503" s="240"/>
      <c r="B503" s="242" t="s">
        <v>163</v>
      </c>
      <c r="C503" s="245"/>
      <c r="D503" s="246"/>
      <c r="E503" s="220">
        <f>1.31*1.52</f>
        <v>1.9912000000000001</v>
      </c>
      <c r="F503" s="220">
        <f>0.68+1.31</f>
        <v>1.9900000000000002</v>
      </c>
      <c r="G503" s="220"/>
      <c r="H503" s="220">
        <v>2.6</v>
      </c>
      <c r="I503" s="220">
        <f>F503*H503-E503</f>
        <v>3.1828000000000003</v>
      </c>
      <c r="J503" s="280"/>
      <c r="K503" s="281"/>
      <c r="L503" s="281"/>
    </row>
    <row r="504" spans="1:13" outlineLevel="1">
      <c r="A504" s="240"/>
      <c r="B504" s="242" t="s">
        <v>425</v>
      </c>
      <c r="C504" s="245"/>
      <c r="D504" s="246"/>
      <c r="E504" s="220">
        <f>2*0.6*2.1+1.2*1.52</f>
        <v>4.3439999999999994</v>
      </c>
      <c r="F504" s="220">
        <v>5.62</v>
      </c>
      <c r="G504" s="220"/>
      <c r="H504" s="220">
        <v>2.6</v>
      </c>
      <c r="I504" s="220">
        <f>F504*H504-E504</f>
        <v>10.268000000000001</v>
      </c>
      <c r="J504" s="280" t="s">
        <v>1168</v>
      </c>
      <c r="K504" s="281"/>
      <c r="L504" s="281"/>
    </row>
    <row r="505" spans="1:13" outlineLevel="1">
      <c r="A505" s="240"/>
      <c r="B505" s="242" t="s">
        <v>428</v>
      </c>
      <c r="C505" s="245"/>
      <c r="D505" s="246"/>
      <c r="E505" s="220">
        <f>2*0.8*2.1+1.01*1.52</f>
        <v>4.8952000000000009</v>
      </c>
      <c r="F505" s="220">
        <f>12.07+26.45</f>
        <v>38.519999999999996</v>
      </c>
      <c r="G505" s="220"/>
      <c r="H505" s="220">
        <v>2.6</v>
      </c>
      <c r="I505" s="220">
        <f>F505*H505-E505</f>
        <v>95.256799999999984</v>
      </c>
      <c r="J505" s="280"/>
      <c r="K505" s="281"/>
      <c r="L505" s="281"/>
    </row>
    <row r="506" spans="1:13" outlineLevel="1">
      <c r="A506" s="240"/>
      <c r="B506" s="242" t="s">
        <v>421</v>
      </c>
      <c r="C506" s="245"/>
      <c r="D506" s="246"/>
      <c r="E506" s="220">
        <f>0.8*2.1+3*0.9*2.1+4.64*1.52</f>
        <v>14.402800000000001</v>
      </c>
      <c r="F506" s="220">
        <v>16.350000000000001</v>
      </c>
      <c r="G506" s="220"/>
      <c r="H506" s="220">
        <v>2.6</v>
      </c>
      <c r="I506" s="220">
        <f>F506*H506-E506</f>
        <v>28.107200000000006</v>
      </c>
      <c r="J506" s="280"/>
      <c r="K506" s="281"/>
      <c r="L506" s="281"/>
    </row>
    <row r="507" spans="1:13" outlineLevel="1">
      <c r="A507" s="240"/>
      <c r="B507" s="242" t="s">
        <v>420</v>
      </c>
      <c r="C507" s="245"/>
      <c r="D507" s="246"/>
      <c r="E507" s="220">
        <f>0.9*2.1+3.82*1.52+5.37*1.52</f>
        <v>15.8588</v>
      </c>
      <c r="F507" s="220">
        <f>23.05-4.19</f>
        <v>18.86</v>
      </c>
      <c r="G507" s="220"/>
      <c r="H507" s="220">
        <v>2.6</v>
      </c>
      <c r="I507" s="220">
        <f>F507*H507-E507</f>
        <v>33.177199999999999</v>
      </c>
      <c r="J507" s="280" t="s">
        <v>1168</v>
      </c>
      <c r="K507" s="281"/>
      <c r="L507" s="281"/>
      <c r="M507" s="26"/>
    </row>
    <row r="508" spans="1:13" outlineLevel="1">
      <c r="A508" s="240"/>
      <c r="B508" s="242" t="s">
        <v>423</v>
      </c>
      <c r="C508" s="245"/>
      <c r="D508" s="246"/>
      <c r="E508" s="220"/>
      <c r="F508" s="220">
        <v>1.44</v>
      </c>
      <c r="G508" s="220">
        <v>1.0900000000000001</v>
      </c>
      <c r="H508" s="220">
        <f>2.6-1.69</f>
        <v>0.91000000000000014</v>
      </c>
      <c r="I508" s="220">
        <f>2*F508*H508+2*G508*H508-E508</f>
        <v>4.6046000000000014</v>
      </c>
      <c r="J508" s="280"/>
      <c r="K508" s="281"/>
      <c r="L508" s="281"/>
      <c r="M508" s="26"/>
    </row>
    <row r="509" spans="1:13" outlineLevel="1">
      <c r="A509" s="240"/>
      <c r="B509" s="242" t="s">
        <v>424</v>
      </c>
      <c r="C509" s="245"/>
      <c r="D509" s="246"/>
      <c r="E509" s="220"/>
      <c r="F509" s="220">
        <v>1.44</v>
      </c>
      <c r="G509" s="220">
        <v>1.0900000000000001</v>
      </c>
      <c r="H509" s="220">
        <f>2.6-1.69</f>
        <v>0.91000000000000014</v>
      </c>
      <c r="I509" s="220">
        <f>2*F509*H509+2*G509*H509-E509</f>
        <v>4.6046000000000014</v>
      </c>
      <c r="J509" s="280"/>
      <c r="K509" s="281"/>
      <c r="L509" s="281"/>
      <c r="M509" s="26"/>
    </row>
    <row r="510" spans="1:13" outlineLevel="1">
      <c r="A510" s="240"/>
      <c r="B510" s="242" t="s">
        <v>429</v>
      </c>
      <c r="C510" s="245"/>
      <c r="D510" s="246"/>
      <c r="E510" s="220"/>
      <c r="F510" s="220">
        <v>1.76</v>
      </c>
      <c r="G510" s="220">
        <v>1.8</v>
      </c>
      <c r="H510" s="220">
        <f>2.6-1.69</f>
        <v>0.91000000000000014</v>
      </c>
      <c r="I510" s="220">
        <f>2*F510*H510+2*G510*H510-E510</f>
        <v>6.4792000000000014</v>
      </c>
      <c r="J510" s="280" t="s">
        <v>1168</v>
      </c>
      <c r="K510" s="281"/>
      <c r="L510" s="281"/>
      <c r="M510" s="26"/>
    </row>
    <row r="511" spans="1:13" outlineLevel="1">
      <c r="A511" s="240"/>
      <c r="B511" s="241" t="s">
        <v>414</v>
      </c>
      <c r="C511" s="245"/>
      <c r="D511" s="246"/>
      <c r="E511" s="220"/>
      <c r="F511" s="220"/>
      <c r="G511" s="220"/>
      <c r="H511" s="220"/>
      <c r="I511" s="220"/>
      <c r="J511" s="280"/>
      <c r="K511" s="281"/>
      <c r="L511" s="281"/>
      <c r="M511" s="26"/>
    </row>
    <row r="512" spans="1:13" outlineLevel="1">
      <c r="A512" s="240"/>
      <c r="B512" s="242" t="s">
        <v>420</v>
      </c>
      <c r="C512" s="245"/>
      <c r="D512" s="246"/>
      <c r="E512" s="220">
        <f>4.75*1.52</f>
        <v>7.22</v>
      </c>
      <c r="F512" s="220">
        <v>5.67</v>
      </c>
      <c r="G512" s="220"/>
      <c r="H512" s="220">
        <v>2.6</v>
      </c>
      <c r="I512" s="220">
        <f>F512*H512-E512</f>
        <v>7.5220000000000011</v>
      </c>
      <c r="J512" s="280"/>
      <c r="K512" s="281"/>
      <c r="L512" s="281"/>
    </row>
    <row r="513" spans="1:12" outlineLevel="1">
      <c r="A513" s="240"/>
      <c r="B513" s="242" t="s">
        <v>420</v>
      </c>
      <c r="C513" s="245"/>
      <c r="D513" s="246"/>
      <c r="E513" s="220">
        <f>(2.75+2.15)*1.52</f>
        <v>7.4480000000000004</v>
      </c>
      <c r="F513" s="220">
        <f>2.75+0.49+0.47+2.15</f>
        <v>5.8599999999999994</v>
      </c>
      <c r="G513" s="220"/>
      <c r="H513" s="220">
        <v>2.6</v>
      </c>
      <c r="I513" s="220">
        <f t="shared" ref="I513:I518" si="25">F513*H513-E513</f>
        <v>7.7879999999999985</v>
      </c>
      <c r="J513" s="280" t="s">
        <v>1168</v>
      </c>
      <c r="K513" s="281"/>
      <c r="L513" s="281"/>
    </row>
    <row r="514" spans="1:12" outlineLevel="1">
      <c r="A514" s="240"/>
      <c r="B514" s="242" t="s">
        <v>430</v>
      </c>
      <c r="C514" s="245"/>
      <c r="D514" s="246"/>
      <c r="E514" s="220">
        <f>2*0.6*2.1+2*0.9*2.1+((2.71+5+4.67+1.2)*1.52)</f>
        <v>26.941599999999998</v>
      </c>
      <c r="F514" s="220">
        <f>25.94+9.35</f>
        <v>35.29</v>
      </c>
      <c r="G514" s="220"/>
      <c r="H514" s="220">
        <v>2.6</v>
      </c>
      <c r="I514" s="220">
        <f t="shared" si="25"/>
        <v>64.812400000000011</v>
      </c>
      <c r="J514" s="280"/>
      <c r="K514" s="281"/>
      <c r="L514" s="281"/>
    </row>
    <row r="515" spans="1:12" outlineLevel="1">
      <c r="A515" s="240"/>
      <c r="B515" s="242" t="s">
        <v>431</v>
      </c>
      <c r="C515" s="245"/>
      <c r="D515" s="246"/>
      <c r="E515" s="220">
        <f>0.9*2.1+((3.61+0.81+0.86+3.76)*1.52)</f>
        <v>15.630799999999999</v>
      </c>
      <c r="F515" s="220">
        <v>23.04</v>
      </c>
      <c r="G515" s="220"/>
      <c r="H515" s="220">
        <v>2.6</v>
      </c>
      <c r="I515" s="220">
        <f t="shared" si="25"/>
        <v>44.273199999999996</v>
      </c>
      <c r="J515" s="280"/>
      <c r="K515" s="281"/>
      <c r="L515" s="281"/>
    </row>
    <row r="516" spans="1:12" outlineLevel="1">
      <c r="A516" s="240"/>
      <c r="B516" s="242" t="s">
        <v>423</v>
      </c>
      <c r="C516" s="245"/>
      <c r="D516" s="246"/>
      <c r="E516" s="220"/>
      <c r="F516" s="220">
        <v>1.44</v>
      </c>
      <c r="G516" s="220">
        <v>1.0900000000000001</v>
      </c>
      <c r="H516" s="220">
        <f>2.6-1.69</f>
        <v>0.91000000000000014</v>
      </c>
      <c r="I516" s="220">
        <f t="shared" si="25"/>
        <v>1.3104000000000002</v>
      </c>
      <c r="J516" s="280" t="s">
        <v>1168</v>
      </c>
      <c r="K516" s="281"/>
      <c r="L516" s="281"/>
    </row>
    <row r="517" spans="1:12" outlineLevel="1">
      <c r="A517" s="240"/>
      <c r="B517" s="242" t="s">
        <v>424</v>
      </c>
      <c r="C517" s="245"/>
      <c r="D517" s="246"/>
      <c r="E517" s="220"/>
      <c r="F517" s="220">
        <v>1.44</v>
      </c>
      <c r="G517" s="220">
        <v>1.0900000000000001</v>
      </c>
      <c r="H517" s="220">
        <f>2.6-1.69</f>
        <v>0.91000000000000014</v>
      </c>
      <c r="I517" s="220">
        <f t="shared" si="25"/>
        <v>1.3104000000000002</v>
      </c>
      <c r="J517" s="280"/>
      <c r="K517" s="281"/>
      <c r="L517" s="281"/>
    </row>
    <row r="518" spans="1:12" outlineLevel="1">
      <c r="A518" s="240"/>
      <c r="B518" s="242" t="s">
        <v>429</v>
      </c>
      <c r="C518" s="245"/>
      <c r="D518" s="246"/>
      <c r="E518" s="220"/>
      <c r="F518" s="220">
        <v>1.76</v>
      </c>
      <c r="G518" s="220">
        <v>1.75</v>
      </c>
      <c r="H518" s="220">
        <f>2.6-1.69</f>
        <v>0.91000000000000014</v>
      </c>
      <c r="I518" s="220">
        <f t="shared" si="25"/>
        <v>1.6016000000000004</v>
      </c>
      <c r="J518" s="280"/>
      <c r="K518" s="281"/>
      <c r="L518" s="281"/>
    </row>
    <row r="519" spans="1:12" outlineLevel="1">
      <c r="A519" s="240"/>
      <c r="B519" s="253"/>
      <c r="C519" s="254"/>
      <c r="D519" s="255"/>
      <c r="E519" s="256"/>
      <c r="F519" s="256"/>
      <c r="G519" s="256"/>
      <c r="H519" s="256"/>
      <c r="I519" s="256"/>
      <c r="J519" s="280" t="s">
        <v>1168</v>
      </c>
      <c r="K519" s="281"/>
      <c r="L519" s="281"/>
    </row>
    <row r="520" spans="1:12" ht="31.5" outlineLevel="1">
      <c r="A520" s="210" t="s">
        <v>194</v>
      </c>
      <c r="B520" s="239" t="s">
        <v>516</v>
      </c>
      <c r="C520" s="243" t="s">
        <v>4</v>
      </c>
      <c r="D520" s="244"/>
      <c r="E520" s="263" t="s">
        <v>515</v>
      </c>
      <c r="F520" s="214"/>
      <c r="G520" s="214"/>
      <c r="H520" s="214"/>
      <c r="I520" s="215">
        <f>SUM(I522:I550)</f>
        <v>529.70979999999997</v>
      </c>
      <c r="J520" s="280"/>
      <c r="K520" s="281"/>
      <c r="L520" s="281"/>
    </row>
    <row r="521" spans="1:12" outlineLevel="1">
      <c r="A521" s="240"/>
      <c r="B521" s="241" t="s">
        <v>411</v>
      </c>
      <c r="C521" s="245"/>
      <c r="D521" s="219"/>
      <c r="E521" s="220"/>
      <c r="F521" s="220"/>
      <c r="G521" s="220"/>
      <c r="H521" s="220"/>
      <c r="I521" s="220"/>
      <c r="J521" s="280"/>
      <c r="K521" s="281"/>
      <c r="L521" s="281"/>
    </row>
    <row r="522" spans="1:12" outlineLevel="1">
      <c r="A522" s="240"/>
      <c r="B522" s="242" t="s">
        <v>418</v>
      </c>
      <c r="C522" s="245"/>
      <c r="D522" s="219"/>
      <c r="E522" s="220">
        <f>0.8*2.1+3.76*1.52</f>
        <v>7.3951999999999991</v>
      </c>
      <c r="F522" s="220">
        <f>3.76+3.2+1.48+0.53+2.34+3.73</f>
        <v>15.04</v>
      </c>
      <c r="G522" s="220"/>
      <c r="H522" s="220">
        <v>2.5499999999999998</v>
      </c>
      <c r="I522" s="220">
        <f>F522*H522-E522</f>
        <v>30.956799999999998</v>
      </c>
      <c r="J522" s="280" t="s">
        <v>1168</v>
      </c>
      <c r="K522" s="281"/>
      <c r="L522" s="281"/>
    </row>
    <row r="523" spans="1:12" outlineLevel="1">
      <c r="A523" s="240"/>
      <c r="B523" s="242" t="s">
        <v>426</v>
      </c>
      <c r="C523" s="245"/>
      <c r="D523" s="219"/>
      <c r="E523" s="220">
        <f>0.8*2.1+4.1*1.52</f>
        <v>7.911999999999999</v>
      </c>
      <c r="F523" s="220">
        <f>3.73*2+4.1*2</f>
        <v>15.66</v>
      </c>
      <c r="G523" s="220"/>
      <c r="H523" s="220">
        <v>2.5499999999999998</v>
      </c>
      <c r="I523" s="220">
        <f t="shared" ref="I523:I528" si="26">F523*H523-E523</f>
        <v>32.021000000000001</v>
      </c>
      <c r="J523" s="280"/>
      <c r="K523" s="281"/>
      <c r="L523" s="281"/>
    </row>
    <row r="524" spans="1:12" outlineLevel="1">
      <c r="A524" s="240"/>
      <c r="B524" s="242" t="s">
        <v>419</v>
      </c>
      <c r="C524" s="245"/>
      <c r="D524" s="219"/>
      <c r="E524" s="220">
        <f>0.8*2.1+6.54*1.52</f>
        <v>11.620799999999999</v>
      </c>
      <c r="F524" s="220">
        <f>4.44*2+2.75*2</f>
        <v>14.38</v>
      </c>
      <c r="G524" s="220"/>
      <c r="H524" s="220">
        <v>2.5499999999999998</v>
      </c>
      <c r="I524" s="220">
        <f t="shared" si="26"/>
        <v>25.048199999999998</v>
      </c>
      <c r="J524" s="280"/>
      <c r="K524" s="281"/>
      <c r="L524" s="281"/>
    </row>
    <row r="525" spans="1:12" outlineLevel="1">
      <c r="A525" s="240"/>
      <c r="B525" s="242" t="s">
        <v>427</v>
      </c>
      <c r="C525" s="245"/>
      <c r="D525" s="219"/>
      <c r="E525" s="220">
        <f>0.8*2.1*2+2.05*1.52</f>
        <v>6.476</v>
      </c>
      <c r="F525" s="220">
        <f>2.85*2+2.05</f>
        <v>7.75</v>
      </c>
      <c r="G525" s="220"/>
      <c r="H525" s="220">
        <v>2.5499999999999998</v>
      </c>
      <c r="I525" s="220">
        <f t="shared" si="26"/>
        <v>13.2865</v>
      </c>
      <c r="J525" s="280" t="s">
        <v>1168</v>
      </c>
      <c r="K525" s="281"/>
      <c r="L525" s="281"/>
    </row>
    <row r="526" spans="1:12" outlineLevel="1">
      <c r="A526" s="240"/>
      <c r="B526" s="242" t="s">
        <v>420</v>
      </c>
      <c r="C526" s="245"/>
      <c r="D526" s="246"/>
      <c r="E526" s="220">
        <f>0.8*2.1+2.38*1.52</f>
        <v>5.2976000000000001</v>
      </c>
      <c r="F526" s="220">
        <f>2.95+2.35+0.57+0.4+2.38+2.75</f>
        <v>11.400000000000002</v>
      </c>
      <c r="G526" s="220"/>
      <c r="H526" s="220">
        <v>2.5499999999999998</v>
      </c>
      <c r="I526" s="220">
        <f t="shared" si="26"/>
        <v>23.772400000000005</v>
      </c>
      <c r="J526" s="280"/>
      <c r="K526" s="281"/>
      <c r="L526" s="281"/>
    </row>
    <row r="527" spans="1:12" outlineLevel="1">
      <c r="A527" s="240"/>
      <c r="B527" s="242" t="s">
        <v>420</v>
      </c>
      <c r="C527" s="245"/>
      <c r="D527" s="246"/>
      <c r="E527" s="220">
        <f>0.8*2.1+2.2*1.52</f>
        <v>5.0240000000000009</v>
      </c>
      <c r="F527" s="220">
        <f>2.95+2.75+2.2+0.37+0.75+2.38</f>
        <v>11.399999999999999</v>
      </c>
      <c r="G527" s="220"/>
      <c r="H527" s="220">
        <v>2.5499999999999998</v>
      </c>
      <c r="I527" s="220">
        <f t="shared" si="26"/>
        <v>24.045999999999992</v>
      </c>
      <c r="J527" s="280"/>
      <c r="K527" s="281"/>
      <c r="L527" s="281"/>
    </row>
    <row r="528" spans="1:12" outlineLevel="1">
      <c r="A528" s="240"/>
      <c r="B528" s="242" t="s">
        <v>422</v>
      </c>
      <c r="C528" s="245"/>
      <c r="D528" s="246"/>
      <c r="E528" s="220">
        <f>0.8*2.1*4+0.6+0.9*2</f>
        <v>9.120000000000001</v>
      </c>
      <c r="F528" s="220">
        <f>6.54-1.2+8.5-2.05+1.2+5.4+0.35+1.87+5.67</f>
        <v>26.28</v>
      </c>
      <c r="G528" s="220"/>
      <c r="H528" s="220">
        <v>2.5499999999999998</v>
      </c>
      <c r="I528" s="220">
        <f t="shared" si="26"/>
        <v>57.893999999999991</v>
      </c>
      <c r="J528" s="280" t="s">
        <v>1168</v>
      </c>
      <c r="K528" s="281"/>
      <c r="L528" s="281"/>
    </row>
    <row r="529" spans="1:12" outlineLevel="1">
      <c r="A529" s="240"/>
      <c r="B529" s="241" t="s">
        <v>412</v>
      </c>
      <c r="C529" s="245"/>
      <c r="D529" s="246"/>
      <c r="E529" s="220"/>
      <c r="F529" s="220"/>
      <c r="G529" s="220"/>
      <c r="H529" s="220"/>
      <c r="I529" s="220"/>
      <c r="J529" s="280"/>
      <c r="K529" s="281"/>
      <c r="L529" s="281"/>
    </row>
    <row r="530" spans="1:12" outlineLevel="1">
      <c r="A530" s="240"/>
      <c r="B530" s="242" t="s">
        <v>468</v>
      </c>
      <c r="C530" s="245"/>
      <c r="D530" s="246"/>
      <c r="E530" s="220">
        <f>5.48*1.52</f>
        <v>8.329600000000001</v>
      </c>
      <c r="F530" s="220">
        <v>4.5199999999999996</v>
      </c>
      <c r="G530" s="220"/>
      <c r="H530" s="220">
        <v>2.6</v>
      </c>
      <c r="I530" s="220">
        <f>F530*H530</f>
        <v>11.751999999999999</v>
      </c>
      <c r="J530" s="280"/>
      <c r="K530" s="281"/>
      <c r="L530" s="281"/>
    </row>
    <row r="531" spans="1:12" outlineLevel="1">
      <c r="A531" s="240"/>
      <c r="B531" s="242" t="s">
        <v>469</v>
      </c>
      <c r="C531" s="245"/>
      <c r="D531" s="246"/>
      <c r="E531" s="220">
        <f>2.8*1.52</f>
        <v>4.2559999999999993</v>
      </c>
      <c r="F531" s="220">
        <f>4.52+2.8</f>
        <v>7.3199999999999994</v>
      </c>
      <c r="G531" s="220"/>
      <c r="H531" s="220">
        <v>2.6</v>
      </c>
      <c r="I531" s="220">
        <f>F531*H531-E531</f>
        <v>14.776</v>
      </c>
      <c r="J531" s="280" t="s">
        <v>1168</v>
      </c>
      <c r="K531" s="281"/>
      <c r="L531" s="281"/>
    </row>
    <row r="532" spans="1:12" outlineLevel="1">
      <c r="A532" s="240"/>
      <c r="B532" s="241" t="s">
        <v>413</v>
      </c>
      <c r="C532" s="245"/>
      <c r="D532" s="246"/>
      <c r="E532" s="220"/>
      <c r="F532" s="220"/>
      <c r="G532" s="220"/>
      <c r="H532" s="220"/>
      <c r="I532" s="220"/>
      <c r="J532" s="280"/>
      <c r="K532" s="281"/>
      <c r="L532" s="281"/>
    </row>
    <row r="533" spans="1:12" outlineLevel="1">
      <c r="A533" s="240"/>
      <c r="B533" s="242" t="s">
        <v>163</v>
      </c>
      <c r="C533" s="245"/>
      <c r="D533" s="246"/>
      <c r="E533" s="220"/>
      <c r="F533" s="220">
        <v>3.09</v>
      </c>
      <c r="G533" s="262"/>
      <c r="H533" s="220">
        <f>2.6-1.95</f>
        <v>0.65000000000000013</v>
      </c>
      <c r="I533" s="220">
        <f>F533*H533</f>
        <v>2.0085000000000002</v>
      </c>
      <c r="J533" s="280"/>
      <c r="K533" s="281"/>
      <c r="L533" s="281"/>
    </row>
    <row r="534" spans="1:12" outlineLevel="1">
      <c r="A534" s="240"/>
      <c r="B534" s="242" t="s">
        <v>163</v>
      </c>
      <c r="C534" s="245"/>
      <c r="D534" s="246"/>
      <c r="E534" s="220">
        <f>1.31*1.52</f>
        <v>1.9912000000000001</v>
      </c>
      <c r="F534" s="220">
        <f>0.68+1.31</f>
        <v>1.9900000000000002</v>
      </c>
      <c r="G534" s="220"/>
      <c r="H534" s="220">
        <v>2.6</v>
      </c>
      <c r="I534" s="220">
        <f>F534*H534-E534</f>
        <v>3.1828000000000003</v>
      </c>
      <c r="J534" s="280" t="s">
        <v>1168</v>
      </c>
      <c r="K534" s="281"/>
      <c r="L534" s="281"/>
    </row>
    <row r="535" spans="1:12" outlineLevel="1">
      <c r="A535" s="240"/>
      <c r="B535" s="242" t="s">
        <v>425</v>
      </c>
      <c r="C535" s="245"/>
      <c r="D535" s="246"/>
      <c r="E535" s="220">
        <f>2*0.6*2.1+1.2*1.52</f>
        <v>4.3439999999999994</v>
      </c>
      <c r="F535" s="220">
        <v>5.62</v>
      </c>
      <c r="G535" s="220"/>
      <c r="H535" s="220">
        <v>2.6</v>
      </c>
      <c r="I535" s="220">
        <f>F535*H535-E535</f>
        <v>10.268000000000001</v>
      </c>
      <c r="J535" s="280"/>
      <c r="K535" s="281"/>
      <c r="L535" s="281"/>
    </row>
    <row r="536" spans="1:12" outlineLevel="1">
      <c r="A536" s="240"/>
      <c r="B536" s="242" t="s">
        <v>428</v>
      </c>
      <c r="C536" s="245"/>
      <c r="D536" s="246"/>
      <c r="E536" s="220">
        <f>2*0.8*2.1+1.01*1.52+20.15</f>
        <v>25.045200000000001</v>
      </c>
      <c r="F536" s="220">
        <f>12.07+26.45</f>
        <v>38.519999999999996</v>
      </c>
      <c r="G536" s="220"/>
      <c r="H536" s="220">
        <v>2.6</v>
      </c>
      <c r="I536" s="220">
        <f>F536*H536-E536</f>
        <v>75.106799999999993</v>
      </c>
      <c r="J536" s="280"/>
      <c r="K536" s="281"/>
      <c r="L536" s="281"/>
    </row>
    <row r="537" spans="1:12" outlineLevel="1">
      <c r="A537" s="240"/>
      <c r="B537" s="242" t="s">
        <v>421</v>
      </c>
      <c r="C537" s="245"/>
      <c r="D537" s="246"/>
      <c r="E537" s="220">
        <f>0.8*2.1+3*0.9*2.1+4.64*1.52</f>
        <v>14.402800000000001</v>
      </c>
      <c r="F537" s="220">
        <v>16.350000000000001</v>
      </c>
      <c r="G537" s="220"/>
      <c r="H537" s="220">
        <v>2.6</v>
      </c>
      <c r="I537" s="220">
        <f>F537*H537-E537</f>
        <v>28.107200000000006</v>
      </c>
      <c r="J537" s="280" t="s">
        <v>1168</v>
      </c>
      <c r="K537" s="281"/>
      <c r="L537" s="281"/>
    </row>
    <row r="538" spans="1:12" outlineLevel="1">
      <c r="A538" s="240"/>
      <c r="B538" s="242" t="s">
        <v>420</v>
      </c>
      <c r="C538" s="245"/>
      <c r="D538" s="246"/>
      <c r="E538" s="220">
        <f>0.9*2.1+3.82*1.52+5.37*1.52</f>
        <v>15.8588</v>
      </c>
      <c r="F538" s="220">
        <f>23.05-4.19</f>
        <v>18.86</v>
      </c>
      <c r="G538" s="220"/>
      <c r="H538" s="220">
        <v>2.6</v>
      </c>
      <c r="I538" s="220">
        <f>F538*H538-E538</f>
        <v>33.177199999999999</v>
      </c>
      <c r="J538" s="280"/>
      <c r="K538" s="281"/>
      <c r="L538" s="281"/>
    </row>
    <row r="539" spans="1:12" outlineLevel="1">
      <c r="A539" s="240"/>
      <c r="B539" s="242" t="s">
        <v>423</v>
      </c>
      <c r="C539" s="245"/>
      <c r="D539" s="246"/>
      <c r="E539" s="220"/>
      <c r="F539" s="220">
        <v>1.44</v>
      </c>
      <c r="G539" s="220">
        <v>1.0900000000000001</v>
      </c>
      <c r="H539" s="220">
        <f>2.6-1.69</f>
        <v>0.91000000000000014</v>
      </c>
      <c r="I539" s="220">
        <f>2*F539*H539+2*G539*H539-E539</f>
        <v>4.6046000000000014</v>
      </c>
      <c r="J539" s="280"/>
      <c r="K539" s="281"/>
      <c r="L539" s="281"/>
    </row>
    <row r="540" spans="1:12" outlineLevel="1">
      <c r="A540" s="240"/>
      <c r="B540" s="242" t="s">
        <v>424</v>
      </c>
      <c r="C540" s="245"/>
      <c r="D540" s="246"/>
      <c r="E540" s="220"/>
      <c r="F540" s="220">
        <v>1.44</v>
      </c>
      <c r="G540" s="220">
        <v>1.0900000000000001</v>
      </c>
      <c r="H540" s="220">
        <f>2.6-1.69</f>
        <v>0.91000000000000014</v>
      </c>
      <c r="I540" s="220">
        <f>2*F540*H540+2*G540*H540-E540</f>
        <v>4.6046000000000014</v>
      </c>
      <c r="J540" s="280" t="s">
        <v>1168</v>
      </c>
      <c r="K540" s="281"/>
      <c r="L540" s="281"/>
    </row>
    <row r="541" spans="1:12" outlineLevel="1">
      <c r="A541" s="240"/>
      <c r="B541" s="242" t="s">
        <v>429</v>
      </c>
      <c r="C541" s="245"/>
      <c r="D541" s="246"/>
      <c r="E541" s="220"/>
      <c r="F541" s="220">
        <v>1.76</v>
      </c>
      <c r="G541" s="220">
        <v>1.8</v>
      </c>
      <c r="H541" s="220">
        <f>2.6-1.69</f>
        <v>0.91000000000000014</v>
      </c>
      <c r="I541" s="220">
        <f>2*F541*H541+2*G541*H541-E541</f>
        <v>6.4792000000000014</v>
      </c>
      <c r="J541" s="280"/>
      <c r="K541" s="281"/>
      <c r="L541" s="281"/>
    </row>
    <row r="542" spans="1:12" outlineLevel="1">
      <c r="A542" s="240"/>
      <c r="B542" s="241" t="s">
        <v>414</v>
      </c>
      <c r="C542" s="245"/>
      <c r="D542" s="246"/>
      <c r="E542" s="220"/>
      <c r="F542" s="220"/>
      <c r="G542" s="220"/>
      <c r="H542" s="220"/>
      <c r="I542" s="220"/>
      <c r="J542" s="280"/>
      <c r="K542" s="281"/>
      <c r="L542" s="281"/>
    </row>
    <row r="543" spans="1:12" outlineLevel="1">
      <c r="A543" s="240"/>
      <c r="B543" s="242" t="s">
        <v>420</v>
      </c>
      <c r="C543" s="245"/>
      <c r="D543" s="246"/>
      <c r="E543" s="220">
        <f>4.75*1.52</f>
        <v>7.22</v>
      </c>
      <c r="F543" s="220">
        <v>5.67</v>
      </c>
      <c r="G543" s="220"/>
      <c r="H543" s="220">
        <v>2.6</v>
      </c>
      <c r="I543" s="220">
        <f>F543*H543-E543</f>
        <v>7.5220000000000011</v>
      </c>
      <c r="J543" s="280" t="s">
        <v>1168</v>
      </c>
      <c r="K543" s="281"/>
      <c r="L543" s="281"/>
    </row>
    <row r="544" spans="1:12" outlineLevel="1">
      <c r="A544" s="240"/>
      <c r="B544" s="242" t="s">
        <v>420</v>
      </c>
      <c r="C544" s="245"/>
      <c r="D544" s="246"/>
      <c r="E544" s="220">
        <f>(2.75+2.15)*1.52</f>
        <v>7.4480000000000004</v>
      </c>
      <c r="F544" s="220">
        <f>2.75+0.49+0.47+2.15</f>
        <v>5.8599999999999994</v>
      </c>
      <c r="G544" s="220"/>
      <c r="H544" s="220">
        <v>2.6</v>
      </c>
      <c r="I544" s="220">
        <f t="shared" ref="I544:I549" si="27">F544*H544-E544</f>
        <v>7.7879999999999985</v>
      </c>
      <c r="J544" s="280"/>
      <c r="K544" s="281"/>
      <c r="L544" s="281"/>
    </row>
    <row r="545" spans="1:12" outlineLevel="1">
      <c r="A545" s="240"/>
      <c r="B545" s="242" t="s">
        <v>430</v>
      </c>
      <c r="C545" s="245"/>
      <c r="D545" s="246"/>
      <c r="E545" s="220">
        <f>2*0.6*2.1+2*0.9*2.1+((2.71+5+4.67+1.2)*1.52)</f>
        <v>26.941599999999998</v>
      </c>
      <c r="F545" s="220">
        <f>25.94+9.35</f>
        <v>35.29</v>
      </c>
      <c r="G545" s="220"/>
      <c r="H545" s="220">
        <v>2.6</v>
      </c>
      <c r="I545" s="220">
        <f t="shared" si="27"/>
        <v>64.812400000000011</v>
      </c>
      <c r="J545" s="280"/>
      <c r="K545" s="281"/>
      <c r="L545" s="281"/>
    </row>
    <row r="546" spans="1:12" outlineLevel="1">
      <c r="A546" s="240"/>
      <c r="B546" s="242" t="s">
        <v>431</v>
      </c>
      <c r="C546" s="245"/>
      <c r="D546" s="246"/>
      <c r="E546" s="220">
        <f>0.9*2.1+((3.61+0.81+0.86+3.76)*1.52)</f>
        <v>15.630799999999999</v>
      </c>
      <c r="F546" s="220">
        <v>23.04</v>
      </c>
      <c r="G546" s="220"/>
      <c r="H546" s="220">
        <v>2.6</v>
      </c>
      <c r="I546" s="220">
        <f t="shared" si="27"/>
        <v>44.273199999999996</v>
      </c>
      <c r="J546" s="280" t="s">
        <v>1168</v>
      </c>
      <c r="K546" s="281"/>
      <c r="L546" s="281"/>
    </row>
    <row r="547" spans="1:12" outlineLevel="1">
      <c r="A547" s="240"/>
      <c r="B547" s="242" t="s">
        <v>423</v>
      </c>
      <c r="C547" s="245"/>
      <c r="D547" s="246"/>
      <c r="E547" s="220"/>
      <c r="F547" s="220">
        <v>1.44</v>
      </c>
      <c r="G547" s="220">
        <v>1.0900000000000001</v>
      </c>
      <c r="H547" s="220">
        <f>2.6-1.69</f>
        <v>0.91000000000000014</v>
      </c>
      <c r="I547" s="220">
        <f t="shared" si="27"/>
        <v>1.3104000000000002</v>
      </c>
      <c r="J547" s="280"/>
      <c r="K547" s="281"/>
      <c r="L547" s="281"/>
    </row>
    <row r="548" spans="1:12" outlineLevel="1">
      <c r="A548" s="240"/>
      <c r="B548" s="242" t="s">
        <v>424</v>
      </c>
      <c r="C548" s="245"/>
      <c r="D548" s="246"/>
      <c r="E548" s="220"/>
      <c r="F548" s="220">
        <v>1.44</v>
      </c>
      <c r="G548" s="220">
        <v>1.0900000000000001</v>
      </c>
      <c r="H548" s="220">
        <f>2.6-1.69</f>
        <v>0.91000000000000014</v>
      </c>
      <c r="I548" s="220">
        <f t="shared" si="27"/>
        <v>1.3104000000000002</v>
      </c>
      <c r="J548" s="280"/>
      <c r="K548" s="281"/>
      <c r="L548" s="281"/>
    </row>
    <row r="549" spans="1:12" outlineLevel="1">
      <c r="A549" s="240"/>
      <c r="B549" s="242" t="s">
        <v>429</v>
      </c>
      <c r="C549" s="245"/>
      <c r="D549" s="246"/>
      <c r="E549" s="220"/>
      <c r="F549" s="220">
        <v>1.76</v>
      </c>
      <c r="G549" s="220">
        <v>1.75</v>
      </c>
      <c r="H549" s="220">
        <f>2.6-1.69</f>
        <v>0.91000000000000014</v>
      </c>
      <c r="I549" s="220">
        <f t="shared" si="27"/>
        <v>1.6016000000000004</v>
      </c>
      <c r="J549" s="280" t="s">
        <v>1168</v>
      </c>
      <c r="K549" s="281"/>
      <c r="L549" s="281"/>
    </row>
    <row r="550" spans="1:12" outlineLevel="1">
      <c r="A550" s="240"/>
      <c r="B550" s="253"/>
      <c r="C550" s="254"/>
      <c r="D550" s="255"/>
      <c r="E550" s="256"/>
      <c r="F550" s="256"/>
      <c r="G550" s="256"/>
      <c r="H550" s="256"/>
      <c r="I550" s="256"/>
      <c r="J550" s="280"/>
      <c r="K550" s="281"/>
      <c r="L550" s="281"/>
    </row>
    <row r="551" spans="1:12" ht="31.5" outlineLevel="1">
      <c r="A551" s="210" t="s">
        <v>279</v>
      </c>
      <c r="B551" s="239" t="s">
        <v>278</v>
      </c>
      <c r="C551" s="243" t="s">
        <v>4</v>
      </c>
      <c r="D551" s="213"/>
      <c r="E551" s="214"/>
      <c r="F551" s="214"/>
      <c r="G551" s="214"/>
      <c r="H551" s="214"/>
      <c r="I551" s="215">
        <f>SUM(I552:I554)</f>
        <v>20.150000000000002</v>
      </c>
      <c r="J551" s="280"/>
      <c r="K551" s="281"/>
      <c r="L551" s="281"/>
    </row>
    <row r="552" spans="1:12" outlineLevel="1">
      <c r="A552" s="240"/>
      <c r="B552" s="241" t="s">
        <v>413</v>
      </c>
      <c r="C552" s="245"/>
      <c r="D552" s="219"/>
      <c r="E552" s="220"/>
      <c r="F552" s="220"/>
      <c r="G552" s="220"/>
      <c r="H552" s="220"/>
      <c r="I552" s="220"/>
      <c r="J552" s="280" t="s">
        <v>1168</v>
      </c>
      <c r="K552" s="281"/>
      <c r="L552" s="281"/>
    </row>
    <row r="553" spans="1:12" outlineLevel="1">
      <c r="A553" s="240"/>
      <c r="B553" s="242" t="s">
        <v>428</v>
      </c>
      <c r="C553" s="245"/>
      <c r="D553" s="219"/>
      <c r="E553" s="220"/>
      <c r="F553" s="220">
        <v>7.75</v>
      </c>
      <c r="G553" s="220"/>
      <c r="H553" s="220">
        <v>2.6</v>
      </c>
      <c r="I553" s="220">
        <f>F553*H553</f>
        <v>20.150000000000002</v>
      </c>
      <c r="J553" s="280"/>
      <c r="K553" s="281"/>
      <c r="L553" s="281"/>
    </row>
    <row r="554" spans="1:12" outlineLevel="1">
      <c r="A554" s="240"/>
      <c r="B554" s="253"/>
      <c r="C554" s="254"/>
      <c r="D554" s="224"/>
      <c r="E554" s="225"/>
      <c r="F554" s="225"/>
      <c r="G554" s="225"/>
      <c r="H554" s="225"/>
      <c r="I554" s="225"/>
      <c r="J554" s="280"/>
      <c r="K554" s="281"/>
      <c r="L554" s="281"/>
    </row>
    <row r="555" spans="1:12" outlineLevel="1">
      <c r="A555" s="188" t="s">
        <v>195</v>
      </c>
      <c r="B555" s="189" t="s">
        <v>517</v>
      </c>
      <c r="C555" s="233"/>
      <c r="D555" s="234"/>
      <c r="E555" s="235"/>
      <c r="F555" s="235"/>
      <c r="G555" s="235"/>
      <c r="H555" s="235"/>
      <c r="I555" s="236"/>
      <c r="J555" s="280" t="s">
        <v>1168</v>
      </c>
      <c r="K555" s="281"/>
      <c r="L555" s="281"/>
    </row>
    <row r="556" spans="1:12" ht="31.5" outlineLevel="1">
      <c r="A556" s="210" t="s">
        <v>196</v>
      </c>
      <c r="B556" s="239" t="s">
        <v>513</v>
      </c>
      <c r="C556" s="243" t="s">
        <v>4</v>
      </c>
      <c r="D556" s="213"/>
      <c r="E556" s="263" t="s">
        <v>487</v>
      </c>
      <c r="F556" s="214"/>
      <c r="G556" s="214"/>
      <c r="H556" s="214"/>
      <c r="I556" s="215">
        <f>SUM(I557:I573)</f>
        <v>113.97039999999997</v>
      </c>
      <c r="J556" s="280"/>
      <c r="K556" s="281"/>
      <c r="L556" s="281"/>
    </row>
    <row r="557" spans="1:12" outlineLevel="1">
      <c r="A557" s="240"/>
      <c r="B557" s="241" t="s">
        <v>412</v>
      </c>
      <c r="C557" s="245"/>
      <c r="D557" s="219"/>
      <c r="E557" s="220"/>
      <c r="F557" s="251"/>
      <c r="G557" s="220"/>
      <c r="H557" s="220"/>
      <c r="I557" s="220"/>
      <c r="J557" s="280"/>
      <c r="K557" s="281"/>
      <c r="L557" s="281"/>
    </row>
    <row r="558" spans="1:12" outlineLevel="1">
      <c r="A558" s="240"/>
      <c r="B558" s="242" t="s">
        <v>503</v>
      </c>
      <c r="C558" s="245"/>
      <c r="D558" s="219"/>
      <c r="E558" s="220">
        <v>31.68</v>
      </c>
      <c r="F558" s="251"/>
      <c r="G558" s="220"/>
      <c r="H558" s="220"/>
      <c r="I558" s="220">
        <f>E558</f>
        <v>31.68</v>
      </c>
      <c r="J558" s="280" t="s">
        <v>1168</v>
      </c>
      <c r="K558" s="281"/>
      <c r="L558" s="281"/>
    </row>
    <row r="559" spans="1:12" outlineLevel="1">
      <c r="A559" s="240"/>
      <c r="B559" s="242" t="s">
        <v>484</v>
      </c>
      <c r="C559" s="245"/>
      <c r="D559" s="219"/>
      <c r="E559" s="220">
        <v>6.9</v>
      </c>
      <c r="F559" s="251"/>
      <c r="G559" s="220"/>
      <c r="H559" s="220"/>
      <c r="I559" s="220">
        <f t="shared" ref="I559:I564" si="28">E559</f>
        <v>6.9</v>
      </c>
      <c r="J559" s="280"/>
      <c r="K559" s="281"/>
      <c r="L559" s="281"/>
    </row>
    <row r="560" spans="1:12" outlineLevel="1">
      <c r="A560" s="240"/>
      <c r="B560" s="242" t="s">
        <v>485</v>
      </c>
      <c r="C560" s="245"/>
      <c r="D560" s="219"/>
      <c r="E560" s="220">
        <f>2.68*2.53</f>
        <v>6.7804000000000002</v>
      </c>
      <c r="F560" s="251"/>
      <c r="G560" s="220"/>
      <c r="H560" s="220"/>
      <c r="I560" s="220">
        <f t="shared" si="28"/>
        <v>6.7804000000000002</v>
      </c>
      <c r="J560" s="280"/>
      <c r="K560" s="281"/>
      <c r="L560" s="281"/>
    </row>
    <row r="561" spans="1:12" outlineLevel="1">
      <c r="A561" s="240"/>
      <c r="B561" s="242" t="s">
        <v>486</v>
      </c>
      <c r="C561" s="245"/>
      <c r="D561" s="219"/>
      <c r="E561" s="220">
        <v>11.31</v>
      </c>
      <c r="F561" s="251"/>
      <c r="G561" s="220"/>
      <c r="H561" s="220"/>
      <c r="I561" s="220">
        <f t="shared" si="28"/>
        <v>11.31</v>
      </c>
      <c r="J561" s="280" t="s">
        <v>1168</v>
      </c>
      <c r="K561" s="281"/>
      <c r="L561" s="281"/>
    </row>
    <row r="562" spans="1:12" outlineLevel="1">
      <c r="A562" s="240"/>
      <c r="B562" s="242" t="s">
        <v>468</v>
      </c>
      <c r="C562" s="245"/>
      <c r="D562" s="219"/>
      <c r="E562" s="220">
        <v>36.14</v>
      </c>
      <c r="F562" s="251"/>
      <c r="G562" s="220"/>
      <c r="H562" s="220"/>
      <c r="I562" s="220">
        <f t="shared" si="28"/>
        <v>36.14</v>
      </c>
      <c r="J562" s="280"/>
      <c r="K562" s="281"/>
      <c r="L562" s="281"/>
    </row>
    <row r="563" spans="1:12" outlineLevel="1">
      <c r="A563" s="240"/>
      <c r="B563" s="242" t="s">
        <v>469</v>
      </c>
      <c r="C563" s="245"/>
      <c r="D563" s="219"/>
      <c r="E563" s="220">
        <v>5.28</v>
      </c>
      <c r="F563" s="251"/>
      <c r="G563" s="220"/>
      <c r="H563" s="220"/>
      <c r="I563" s="220">
        <f t="shared" si="28"/>
        <v>5.28</v>
      </c>
      <c r="J563" s="280"/>
      <c r="K563" s="281"/>
      <c r="L563" s="281"/>
    </row>
    <row r="564" spans="1:12" outlineLevel="1">
      <c r="A564" s="240"/>
      <c r="B564" s="242" t="s">
        <v>860</v>
      </c>
      <c r="C564" s="245"/>
      <c r="D564" s="219"/>
      <c r="E564" s="220">
        <v>3.37</v>
      </c>
      <c r="F564" s="220"/>
      <c r="G564" s="220"/>
      <c r="H564" s="220"/>
      <c r="I564" s="220">
        <f t="shared" si="28"/>
        <v>3.37</v>
      </c>
      <c r="J564" s="280" t="s">
        <v>1168</v>
      </c>
      <c r="K564" s="281"/>
      <c r="L564" s="281"/>
    </row>
    <row r="565" spans="1:12" outlineLevel="1">
      <c r="A565" s="240"/>
      <c r="B565" s="241" t="s">
        <v>413</v>
      </c>
      <c r="C565" s="245"/>
      <c r="D565" s="219"/>
      <c r="E565" s="220"/>
      <c r="F565" s="251"/>
      <c r="G565" s="220"/>
      <c r="H565" s="220"/>
      <c r="I565" s="220"/>
      <c r="J565" s="280"/>
      <c r="K565" s="281"/>
      <c r="L565" s="281"/>
    </row>
    <row r="566" spans="1:12" outlineLevel="1">
      <c r="A566" s="240"/>
      <c r="B566" s="242" t="s">
        <v>423</v>
      </c>
      <c r="C566" s="245"/>
      <c r="D566" s="219"/>
      <c r="E566" s="220">
        <v>1.57</v>
      </c>
      <c r="F566" s="251"/>
      <c r="G566" s="220"/>
      <c r="H566" s="220"/>
      <c r="I566" s="220">
        <f t="shared" ref="I566:I572" si="29">E566</f>
        <v>1.57</v>
      </c>
      <c r="J566" s="280"/>
      <c r="K566" s="281"/>
      <c r="L566" s="281"/>
    </row>
    <row r="567" spans="1:12" outlineLevel="1">
      <c r="A567" s="240"/>
      <c r="B567" s="242" t="s">
        <v>424</v>
      </c>
      <c r="C567" s="245"/>
      <c r="D567" s="219"/>
      <c r="E567" s="220">
        <v>1.57</v>
      </c>
      <c r="F567" s="251"/>
      <c r="G567" s="220"/>
      <c r="H567" s="220"/>
      <c r="I567" s="220">
        <f t="shared" si="29"/>
        <v>1.57</v>
      </c>
      <c r="J567" s="280" t="s">
        <v>1168</v>
      </c>
      <c r="K567" s="281"/>
      <c r="L567" s="281"/>
    </row>
    <row r="568" spans="1:12" outlineLevel="1">
      <c r="A568" s="240"/>
      <c r="B568" s="242" t="s">
        <v>429</v>
      </c>
      <c r="C568" s="245"/>
      <c r="D568" s="219"/>
      <c r="E568" s="220">
        <v>3.16</v>
      </c>
      <c r="F568" s="251"/>
      <c r="G568" s="220"/>
      <c r="H568" s="220"/>
      <c r="I568" s="220">
        <f t="shared" si="29"/>
        <v>3.16</v>
      </c>
      <c r="J568" s="280"/>
      <c r="K568" s="281"/>
      <c r="L568" s="281"/>
    </row>
    <row r="569" spans="1:12" outlineLevel="1">
      <c r="A569" s="240"/>
      <c r="B569" s="241" t="s">
        <v>414</v>
      </c>
      <c r="C569" s="245"/>
      <c r="D569" s="219"/>
      <c r="E569" s="220"/>
      <c r="F569" s="251"/>
      <c r="G569" s="220"/>
      <c r="H569" s="220"/>
      <c r="I569" s="220">
        <f t="shared" si="29"/>
        <v>0</v>
      </c>
      <c r="J569" s="280"/>
      <c r="K569" s="281"/>
      <c r="L569" s="281"/>
    </row>
    <row r="570" spans="1:12" outlineLevel="1">
      <c r="A570" s="240"/>
      <c r="B570" s="242" t="s">
        <v>423</v>
      </c>
      <c r="C570" s="245"/>
      <c r="D570" s="219"/>
      <c r="E570" s="220">
        <v>1.57</v>
      </c>
      <c r="F570" s="251"/>
      <c r="G570" s="220"/>
      <c r="H570" s="220"/>
      <c r="I570" s="220">
        <f t="shared" si="29"/>
        <v>1.57</v>
      </c>
      <c r="J570" s="280" t="s">
        <v>1168</v>
      </c>
      <c r="K570" s="281"/>
      <c r="L570" s="281"/>
    </row>
    <row r="571" spans="1:12" outlineLevel="1">
      <c r="A571" s="240"/>
      <c r="B571" s="242" t="s">
        <v>424</v>
      </c>
      <c r="C571" s="245"/>
      <c r="D571" s="219"/>
      <c r="E571" s="220">
        <v>1.57</v>
      </c>
      <c r="F571" s="251"/>
      <c r="G571" s="220"/>
      <c r="H571" s="220"/>
      <c r="I571" s="220">
        <f t="shared" si="29"/>
        <v>1.57</v>
      </c>
      <c r="J571" s="280"/>
      <c r="K571" s="281"/>
      <c r="L571" s="281"/>
    </row>
    <row r="572" spans="1:12" outlineLevel="1">
      <c r="A572" s="240"/>
      <c r="B572" s="242" t="s">
        <v>429</v>
      </c>
      <c r="C572" s="245"/>
      <c r="D572" s="219"/>
      <c r="E572" s="220">
        <v>3.07</v>
      </c>
      <c r="F572" s="251"/>
      <c r="G572" s="220"/>
      <c r="H572" s="220"/>
      <c r="I572" s="220">
        <f t="shared" si="29"/>
        <v>3.07</v>
      </c>
      <c r="J572" s="280"/>
      <c r="K572" s="281"/>
      <c r="L572" s="281"/>
    </row>
    <row r="573" spans="1:12" outlineLevel="1">
      <c r="A573" s="240"/>
      <c r="B573" s="253"/>
      <c r="C573" s="254"/>
      <c r="D573" s="255"/>
      <c r="E573" s="256"/>
      <c r="F573" s="256"/>
      <c r="G573" s="225"/>
      <c r="H573" s="225"/>
      <c r="I573" s="225"/>
      <c r="J573" s="280" t="s">
        <v>1168</v>
      </c>
      <c r="K573" s="281"/>
      <c r="L573" s="281"/>
    </row>
    <row r="574" spans="1:12" outlineLevel="1">
      <c r="A574" s="210" t="s">
        <v>197</v>
      </c>
      <c r="B574" s="239" t="s">
        <v>1167</v>
      </c>
      <c r="C574" s="243" t="s">
        <v>4</v>
      </c>
      <c r="D574" s="213"/>
      <c r="E574" s="214"/>
      <c r="F574" s="214"/>
      <c r="G574" s="214"/>
      <c r="H574" s="214"/>
      <c r="I574" s="215">
        <f>SUM(I575:I591)</f>
        <v>113.97039999999997</v>
      </c>
      <c r="J574" s="280"/>
      <c r="K574" s="281"/>
      <c r="L574" s="281"/>
    </row>
    <row r="575" spans="1:12" outlineLevel="1">
      <c r="A575" s="240"/>
      <c r="B575" s="241" t="s">
        <v>412</v>
      </c>
      <c r="C575" s="245"/>
      <c r="D575" s="219"/>
      <c r="E575" s="220"/>
      <c r="F575" s="251"/>
      <c r="G575" s="220"/>
      <c r="H575" s="220"/>
      <c r="I575" s="220"/>
      <c r="J575" s="280"/>
      <c r="K575" s="281"/>
      <c r="L575" s="281"/>
    </row>
    <row r="576" spans="1:12" outlineLevel="1">
      <c r="A576" s="240"/>
      <c r="B576" s="242" t="s">
        <v>503</v>
      </c>
      <c r="C576" s="245"/>
      <c r="D576" s="219"/>
      <c r="E576" s="220">
        <v>31.68</v>
      </c>
      <c r="F576" s="251"/>
      <c r="G576" s="220"/>
      <c r="H576" s="220"/>
      <c r="I576" s="220">
        <f>E576</f>
        <v>31.68</v>
      </c>
      <c r="J576" s="280" t="s">
        <v>1168</v>
      </c>
      <c r="K576" s="281"/>
      <c r="L576" s="281"/>
    </row>
    <row r="577" spans="1:12" outlineLevel="1">
      <c r="A577" s="240"/>
      <c r="B577" s="242" t="s">
        <v>484</v>
      </c>
      <c r="C577" s="245"/>
      <c r="D577" s="219"/>
      <c r="E577" s="220">
        <v>6.9</v>
      </c>
      <c r="F577" s="251"/>
      <c r="G577" s="220"/>
      <c r="H577" s="220"/>
      <c r="I577" s="220">
        <f t="shared" ref="I577:I582" si="30">E577</f>
        <v>6.9</v>
      </c>
      <c r="J577" s="280"/>
      <c r="K577" s="281"/>
      <c r="L577" s="281"/>
    </row>
    <row r="578" spans="1:12" outlineLevel="1">
      <c r="A578" s="240"/>
      <c r="B578" s="242" t="s">
        <v>485</v>
      </c>
      <c r="C578" s="245"/>
      <c r="D578" s="219"/>
      <c r="E578" s="220">
        <f>2.68*2.53</f>
        <v>6.7804000000000002</v>
      </c>
      <c r="F578" s="251"/>
      <c r="G578" s="220"/>
      <c r="H578" s="220"/>
      <c r="I578" s="220">
        <f t="shared" si="30"/>
        <v>6.7804000000000002</v>
      </c>
      <c r="J578" s="280"/>
      <c r="K578" s="281"/>
      <c r="L578" s="281"/>
    </row>
    <row r="579" spans="1:12" outlineLevel="1">
      <c r="A579" s="240"/>
      <c r="B579" s="242" t="s">
        <v>486</v>
      </c>
      <c r="C579" s="245"/>
      <c r="D579" s="219"/>
      <c r="E579" s="220">
        <v>11.31</v>
      </c>
      <c r="F579" s="251"/>
      <c r="G579" s="220"/>
      <c r="H579" s="220"/>
      <c r="I579" s="220">
        <f t="shared" si="30"/>
        <v>11.31</v>
      </c>
      <c r="J579" s="280" t="s">
        <v>1168</v>
      </c>
      <c r="K579" s="281"/>
      <c r="L579" s="281"/>
    </row>
    <row r="580" spans="1:12" outlineLevel="1">
      <c r="A580" s="240"/>
      <c r="B580" s="242" t="s">
        <v>468</v>
      </c>
      <c r="C580" s="245"/>
      <c r="D580" s="219"/>
      <c r="E580" s="220">
        <v>36.14</v>
      </c>
      <c r="F580" s="251"/>
      <c r="G580" s="220"/>
      <c r="H580" s="220"/>
      <c r="I580" s="220">
        <f t="shared" si="30"/>
        <v>36.14</v>
      </c>
      <c r="J580" s="280"/>
      <c r="K580" s="281"/>
      <c r="L580" s="281"/>
    </row>
    <row r="581" spans="1:12" outlineLevel="1">
      <c r="A581" s="240"/>
      <c r="B581" s="242" t="s">
        <v>469</v>
      </c>
      <c r="C581" s="245"/>
      <c r="D581" s="219"/>
      <c r="E581" s="220">
        <v>5.28</v>
      </c>
      <c r="F581" s="251"/>
      <c r="G581" s="220"/>
      <c r="H581" s="220"/>
      <c r="I581" s="220">
        <f t="shared" si="30"/>
        <v>5.28</v>
      </c>
      <c r="J581" s="280"/>
      <c r="K581" s="281"/>
      <c r="L581" s="281"/>
    </row>
    <row r="582" spans="1:12" outlineLevel="1">
      <c r="A582" s="240"/>
      <c r="B582" s="242" t="s">
        <v>860</v>
      </c>
      <c r="C582" s="245"/>
      <c r="D582" s="219"/>
      <c r="E582" s="220">
        <v>3.37</v>
      </c>
      <c r="F582" s="220"/>
      <c r="G582" s="220"/>
      <c r="H582" s="220"/>
      <c r="I582" s="220">
        <f t="shared" si="30"/>
        <v>3.37</v>
      </c>
      <c r="J582" s="280" t="s">
        <v>1168</v>
      </c>
      <c r="K582" s="281"/>
      <c r="L582" s="281"/>
    </row>
    <row r="583" spans="1:12" outlineLevel="1">
      <c r="A583" s="240"/>
      <c r="B583" s="241" t="s">
        <v>413</v>
      </c>
      <c r="C583" s="245"/>
      <c r="D583" s="219"/>
      <c r="E583" s="220"/>
      <c r="F583" s="251"/>
      <c r="G583" s="220"/>
      <c r="H583" s="220"/>
      <c r="I583" s="220"/>
      <c r="J583" s="280"/>
      <c r="K583" s="281"/>
      <c r="L583" s="281"/>
    </row>
    <row r="584" spans="1:12" outlineLevel="1">
      <c r="A584" s="240"/>
      <c r="B584" s="242" t="s">
        <v>423</v>
      </c>
      <c r="C584" s="245"/>
      <c r="D584" s="219"/>
      <c r="E584" s="220">
        <v>1.57</v>
      </c>
      <c r="F584" s="251"/>
      <c r="G584" s="220"/>
      <c r="H584" s="220"/>
      <c r="I584" s="220">
        <f t="shared" ref="I584" si="31">E584</f>
        <v>1.57</v>
      </c>
      <c r="J584" s="280"/>
      <c r="K584" s="281"/>
      <c r="L584" s="281"/>
    </row>
    <row r="585" spans="1:12" outlineLevel="1">
      <c r="A585" s="240"/>
      <c r="B585" s="242" t="s">
        <v>424</v>
      </c>
      <c r="C585" s="245"/>
      <c r="D585" s="219"/>
      <c r="E585" s="220">
        <v>1.57</v>
      </c>
      <c r="F585" s="251"/>
      <c r="G585" s="220"/>
      <c r="H585" s="220"/>
      <c r="I585" s="220">
        <f>E585</f>
        <v>1.57</v>
      </c>
      <c r="J585" s="280" t="s">
        <v>1168</v>
      </c>
      <c r="K585" s="281"/>
      <c r="L585" s="281"/>
    </row>
    <row r="586" spans="1:12" outlineLevel="1">
      <c r="A586" s="240"/>
      <c r="B586" s="242" t="s">
        <v>429</v>
      </c>
      <c r="C586" s="245"/>
      <c r="D586" s="219"/>
      <c r="E586" s="220">
        <v>3.16</v>
      </c>
      <c r="F586" s="251"/>
      <c r="G586" s="220"/>
      <c r="H586" s="220"/>
      <c r="I586" s="220">
        <f t="shared" ref="I586:I590" si="32">E586</f>
        <v>3.16</v>
      </c>
      <c r="J586" s="280"/>
      <c r="K586" s="281"/>
      <c r="L586" s="281"/>
    </row>
    <row r="587" spans="1:12" outlineLevel="1">
      <c r="A587" s="240"/>
      <c r="B587" s="241" t="s">
        <v>414</v>
      </c>
      <c r="C587" s="245"/>
      <c r="D587" s="219"/>
      <c r="E587" s="220"/>
      <c r="F587" s="251"/>
      <c r="G587" s="220"/>
      <c r="H587" s="220"/>
      <c r="I587" s="220"/>
      <c r="J587" s="280"/>
      <c r="K587" s="281"/>
      <c r="L587" s="281"/>
    </row>
    <row r="588" spans="1:12" outlineLevel="1">
      <c r="A588" s="240"/>
      <c r="B588" s="242" t="s">
        <v>423</v>
      </c>
      <c r="C588" s="245"/>
      <c r="D588" s="219"/>
      <c r="E588" s="220">
        <v>1.57</v>
      </c>
      <c r="F588" s="251"/>
      <c r="G588" s="220"/>
      <c r="H588" s="220"/>
      <c r="I588" s="220">
        <f t="shared" si="32"/>
        <v>1.57</v>
      </c>
      <c r="J588" s="280" t="s">
        <v>1168</v>
      </c>
      <c r="K588" s="281"/>
      <c r="L588" s="281"/>
    </row>
    <row r="589" spans="1:12" outlineLevel="1">
      <c r="A589" s="240"/>
      <c r="B589" s="242" t="s">
        <v>424</v>
      </c>
      <c r="C589" s="245"/>
      <c r="D589" s="219"/>
      <c r="E589" s="220">
        <v>1.57</v>
      </c>
      <c r="F589" s="251"/>
      <c r="G589" s="220"/>
      <c r="H589" s="220"/>
      <c r="I589" s="220">
        <f t="shared" si="32"/>
        <v>1.57</v>
      </c>
      <c r="J589" s="280"/>
      <c r="K589" s="281"/>
      <c r="L589" s="281"/>
    </row>
    <row r="590" spans="1:12" outlineLevel="1">
      <c r="A590" s="240"/>
      <c r="B590" s="242" t="s">
        <v>429</v>
      </c>
      <c r="C590" s="245"/>
      <c r="D590" s="219"/>
      <c r="E590" s="220">
        <v>3.07</v>
      </c>
      <c r="F590" s="251"/>
      <c r="G590" s="220"/>
      <c r="H590" s="220"/>
      <c r="I590" s="220">
        <f t="shared" si="32"/>
        <v>3.07</v>
      </c>
      <c r="J590" s="280"/>
      <c r="K590" s="281"/>
      <c r="L590" s="281"/>
    </row>
    <row r="591" spans="1:12" outlineLevel="1">
      <c r="A591" s="240"/>
      <c r="B591" s="253"/>
      <c r="C591" s="254"/>
      <c r="D591" s="255"/>
      <c r="E591" s="256"/>
      <c r="F591" s="256"/>
      <c r="G591" s="225"/>
      <c r="H591" s="225"/>
      <c r="I591" s="225"/>
      <c r="J591" s="280" t="s">
        <v>1168</v>
      </c>
      <c r="K591" s="281"/>
      <c r="L591" s="281"/>
    </row>
    <row r="592" spans="1:12" outlineLevel="1">
      <c r="A592" s="210" t="s">
        <v>280</v>
      </c>
      <c r="B592" s="239" t="s">
        <v>518</v>
      </c>
      <c r="C592" s="243" t="s">
        <v>4</v>
      </c>
      <c r="D592" s="244"/>
      <c r="E592" s="264"/>
      <c r="F592" s="264"/>
      <c r="G592" s="214"/>
      <c r="H592" s="214"/>
      <c r="I592" s="215">
        <f>SUM(I593:I609)</f>
        <v>113.97039999999997</v>
      </c>
      <c r="J592" s="280"/>
      <c r="K592" s="281"/>
      <c r="L592" s="281"/>
    </row>
    <row r="593" spans="1:12" outlineLevel="1">
      <c r="A593" s="240"/>
      <c r="B593" s="241" t="s">
        <v>412</v>
      </c>
      <c r="C593" s="245"/>
      <c r="D593" s="219"/>
      <c r="E593" s="220"/>
      <c r="F593" s="251"/>
      <c r="G593" s="220"/>
      <c r="H593" s="220"/>
      <c r="I593" s="220"/>
      <c r="J593" s="280"/>
      <c r="K593" s="281"/>
      <c r="L593" s="281"/>
    </row>
    <row r="594" spans="1:12" outlineLevel="1">
      <c r="A594" s="240"/>
      <c r="B594" s="242" t="s">
        <v>503</v>
      </c>
      <c r="C594" s="245"/>
      <c r="D594" s="219"/>
      <c r="E594" s="220">
        <v>31.68</v>
      </c>
      <c r="F594" s="251"/>
      <c r="G594" s="220"/>
      <c r="H594" s="220"/>
      <c r="I594" s="220">
        <f>E594</f>
        <v>31.68</v>
      </c>
      <c r="J594" s="280" t="s">
        <v>1168</v>
      </c>
      <c r="K594" s="281"/>
      <c r="L594" s="281"/>
    </row>
    <row r="595" spans="1:12" outlineLevel="1">
      <c r="A595" s="240"/>
      <c r="B595" s="242" t="s">
        <v>484</v>
      </c>
      <c r="C595" s="245"/>
      <c r="D595" s="219"/>
      <c r="E595" s="220">
        <v>6.9</v>
      </c>
      <c r="F595" s="251"/>
      <c r="G595" s="220"/>
      <c r="H595" s="220"/>
      <c r="I595" s="220">
        <f t="shared" ref="I595:I608" si="33">E595</f>
        <v>6.9</v>
      </c>
      <c r="J595" s="280"/>
      <c r="K595" s="281"/>
      <c r="L595" s="281"/>
    </row>
    <row r="596" spans="1:12" outlineLevel="1">
      <c r="A596" s="240"/>
      <c r="B596" s="242" t="s">
        <v>485</v>
      </c>
      <c r="C596" s="245"/>
      <c r="D596" s="219"/>
      <c r="E596" s="220">
        <f>2.68*2.53</f>
        <v>6.7804000000000002</v>
      </c>
      <c r="F596" s="251"/>
      <c r="G596" s="220"/>
      <c r="H596" s="220"/>
      <c r="I596" s="220">
        <f t="shared" si="33"/>
        <v>6.7804000000000002</v>
      </c>
      <c r="J596" s="280"/>
      <c r="K596" s="281"/>
      <c r="L596" s="281"/>
    </row>
    <row r="597" spans="1:12" outlineLevel="1">
      <c r="A597" s="240"/>
      <c r="B597" s="242" t="s">
        <v>486</v>
      </c>
      <c r="C597" s="245"/>
      <c r="D597" s="219"/>
      <c r="E597" s="220">
        <v>11.31</v>
      </c>
      <c r="F597" s="251"/>
      <c r="G597" s="220"/>
      <c r="H597" s="220"/>
      <c r="I597" s="220">
        <f t="shared" si="33"/>
        <v>11.31</v>
      </c>
      <c r="J597" s="280" t="s">
        <v>1168</v>
      </c>
      <c r="K597" s="281"/>
      <c r="L597" s="281"/>
    </row>
    <row r="598" spans="1:12" outlineLevel="1">
      <c r="A598" s="240"/>
      <c r="B598" s="242" t="s">
        <v>468</v>
      </c>
      <c r="C598" s="245"/>
      <c r="D598" s="219"/>
      <c r="E598" s="220">
        <v>36.14</v>
      </c>
      <c r="F598" s="251"/>
      <c r="G598" s="220"/>
      <c r="H598" s="220"/>
      <c r="I598" s="220">
        <f t="shared" si="33"/>
        <v>36.14</v>
      </c>
      <c r="J598" s="280"/>
      <c r="K598" s="281"/>
      <c r="L598" s="281"/>
    </row>
    <row r="599" spans="1:12" outlineLevel="1">
      <c r="A599" s="240"/>
      <c r="B599" s="242" t="s">
        <v>469</v>
      </c>
      <c r="C599" s="245"/>
      <c r="D599" s="219"/>
      <c r="E599" s="220">
        <v>5.28</v>
      </c>
      <c r="F599" s="251"/>
      <c r="G599" s="220"/>
      <c r="H599" s="220"/>
      <c r="I599" s="220">
        <f t="shared" si="33"/>
        <v>5.28</v>
      </c>
      <c r="J599" s="280"/>
      <c r="K599" s="281"/>
      <c r="L599" s="281"/>
    </row>
    <row r="600" spans="1:12" outlineLevel="1">
      <c r="A600" s="240"/>
      <c r="B600" s="242" t="s">
        <v>860</v>
      </c>
      <c r="C600" s="245"/>
      <c r="D600" s="219"/>
      <c r="E600" s="220">
        <v>3.37</v>
      </c>
      <c r="F600" s="220"/>
      <c r="G600" s="220"/>
      <c r="H600" s="220"/>
      <c r="I600" s="220">
        <f t="shared" si="33"/>
        <v>3.37</v>
      </c>
      <c r="J600" s="280" t="s">
        <v>1168</v>
      </c>
      <c r="K600" s="281"/>
      <c r="L600" s="281"/>
    </row>
    <row r="601" spans="1:12" outlineLevel="1">
      <c r="A601" s="240"/>
      <c r="B601" s="241" t="s">
        <v>413</v>
      </c>
      <c r="C601" s="245"/>
      <c r="D601" s="219"/>
      <c r="E601" s="220"/>
      <c r="F601" s="251"/>
      <c r="G601" s="220"/>
      <c r="H601" s="220"/>
      <c r="I601" s="220"/>
      <c r="J601" s="280"/>
      <c r="K601" s="281"/>
      <c r="L601" s="281"/>
    </row>
    <row r="602" spans="1:12" outlineLevel="1">
      <c r="A602" s="240"/>
      <c r="B602" s="242" t="s">
        <v>423</v>
      </c>
      <c r="C602" s="245"/>
      <c r="D602" s="219"/>
      <c r="E602" s="220">
        <v>1.57</v>
      </c>
      <c r="F602" s="251"/>
      <c r="G602" s="220"/>
      <c r="H602" s="220"/>
      <c r="I602" s="220">
        <f t="shared" si="33"/>
        <v>1.57</v>
      </c>
      <c r="J602" s="280"/>
      <c r="K602" s="281"/>
      <c r="L602" s="281"/>
    </row>
    <row r="603" spans="1:12" outlineLevel="1">
      <c r="A603" s="240"/>
      <c r="B603" s="242" t="s">
        <v>424</v>
      </c>
      <c r="C603" s="245"/>
      <c r="D603" s="219"/>
      <c r="E603" s="220">
        <v>1.57</v>
      </c>
      <c r="F603" s="251"/>
      <c r="G603" s="220"/>
      <c r="H603" s="220"/>
      <c r="I603" s="220">
        <f t="shared" si="33"/>
        <v>1.57</v>
      </c>
      <c r="J603" s="280" t="s">
        <v>1168</v>
      </c>
      <c r="K603" s="281"/>
      <c r="L603" s="281"/>
    </row>
    <row r="604" spans="1:12" outlineLevel="1">
      <c r="A604" s="240"/>
      <c r="B604" s="242" t="s">
        <v>429</v>
      </c>
      <c r="C604" s="245"/>
      <c r="D604" s="219"/>
      <c r="E604" s="220">
        <v>3.16</v>
      </c>
      <c r="F604" s="251"/>
      <c r="G604" s="220"/>
      <c r="H604" s="220"/>
      <c r="I604" s="220">
        <f t="shared" si="33"/>
        <v>3.16</v>
      </c>
      <c r="J604" s="280"/>
      <c r="K604" s="281"/>
      <c r="L604" s="281"/>
    </row>
    <row r="605" spans="1:12" outlineLevel="1">
      <c r="A605" s="240"/>
      <c r="B605" s="241" t="s">
        <v>414</v>
      </c>
      <c r="C605" s="245"/>
      <c r="D605" s="219"/>
      <c r="E605" s="220"/>
      <c r="F605" s="251"/>
      <c r="G605" s="220"/>
      <c r="H605" s="220"/>
      <c r="I605" s="220"/>
      <c r="J605" s="280"/>
      <c r="K605" s="281"/>
      <c r="L605" s="281"/>
    </row>
    <row r="606" spans="1:12" s="26" customFormat="1" outlineLevel="1">
      <c r="A606" s="240"/>
      <c r="B606" s="242" t="s">
        <v>423</v>
      </c>
      <c r="C606" s="245"/>
      <c r="D606" s="219"/>
      <c r="E606" s="220">
        <v>1.57</v>
      </c>
      <c r="F606" s="251"/>
      <c r="G606" s="220"/>
      <c r="H606" s="220"/>
      <c r="I606" s="220">
        <f t="shared" si="33"/>
        <v>1.57</v>
      </c>
      <c r="J606" s="280" t="s">
        <v>1168</v>
      </c>
      <c r="K606" s="281"/>
      <c r="L606" s="281"/>
    </row>
    <row r="607" spans="1:12" s="26" customFormat="1" outlineLevel="1">
      <c r="A607" s="240"/>
      <c r="B607" s="242" t="s">
        <v>424</v>
      </c>
      <c r="C607" s="245"/>
      <c r="D607" s="219"/>
      <c r="E607" s="220">
        <v>1.57</v>
      </c>
      <c r="F607" s="251"/>
      <c r="G607" s="220"/>
      <c r="H607" s="220"/>
      <c r="I607" s="220">
        <f t="shared" si="33"/>
        <v>1.57</v>
      </c>
      <c r="J607" s="280"/>
      <c r="K607" s="281"/>
      <c r="L607" s="281"/>
    </row>
    <row r="608" spans="1:12" s="26" customFormat="1" outlineLevel="1">
      <c r="A608" s="240"/>
      <c r="B608" s="242" t="s">
        <v>429</v>
      </c>
      <c r="C608" s="245"/>
      <c r="D608" s="219"/>
      <c r="E608" s="220">
        <v>3.07</v>
      </c>
      <c r="F608" s="251"/>
      <c r="G608" s="220"/>
      <c r="H608" s="220"/>
      <c r="I608" s="220">
        <f t="shared" si="33"/>
        <v>3.07</v>
      </c>
      <c r="J608" s="280"/>
      <c r="K608" s="281"/>
      <c r="L608" s="281"/>
    </row>
    <row r="609" spans="1:12" s="26" customFormat="1" outlineLevel="1">
      <c r="A609" s="240"/>
      <c r="B609" s="253"/>
      <c r="C609" s="254"/>
      <c r="D609" s="255"/>
      <c r="E609" s="256"/>
      <c r="F609" s="256"/>
      <c r="G609" s="225"/>
      <c r="H609" s="225"/>
      <c r="I609" s="225"/>
      <c r="J609" s="280" t="s">
        <v>1168</v>
      </c>
      <c r="K609" s="281"/>
      <c r="L609" s="281"/>
    </row>
    <row r="610" spans="1:12">
      <c r="A610" s="227" t="s">
        <v>29</v>
      </c>
      <c r="B610" s="228" t="s">
        <v>519</v>
      </c>
      <c r="C610" s="229"/>
      <c r="D610" s="230"/>
      <c r="E610" s="231"/>
      <c r="F610" s="231"/>
      <c r="G610" s="231"/>
      <c r="H610" s="231"/>
      <c r="I610" s="232"/>
      <c r="J610" s="280"/>
      <c r="K610" s="281"/>
      <c r="L610" s="281"/>
    </row>
    <row r="611" spans="1:12" outlineLevel="1">
      <c r="A611" s="188" t="s">
        <v>38</v>
      </c>
      <c r="B611" s="189" t="s">
        <v>425</v>
      </c>
      <c r="C611" s="233"/>
      <c r="D611" s="234"/>
      <c r="E611" s="235"/>
      <c r="F611" s="235"/>
      <c r="G611" s="235"/>
      <c r="H611" s="235"/>
      <c r="I611" s="236"/>
      <c r="J611" s="280"/>
      <c r="K611" s="281"/>
      <c r="L611" s="281"/>
    </row>
    <row r="612" spans="1:12" s="26" customFormat="1" ht="63" outlineLevel="1">
      <c r="A612" s="210" t="s">
        <v>68</v>
      </c>
      <c r="B612" s="239" t="s">
        <v>890</v>
      </c>
      <c r="C612" s="243" t="s">
        <v>8</v>
      </c>
      <c r="D612" s="213"/>
      <c r="E612" s="214"/>
      <c r="F612" s="214"/>
      <c r="G612" s="214"/>
      <c r="H612" s="214"/>
      <c r="I612" s="215">
        <f>SUM(I613:I617)</f>
        <v>2</v>
      </c>
      <c r="J612" s="280" t="s">
        <v>1168</v>
      </c>
      <c r="K612" s="281"/>
      <c r="L612" s="281"/>
    </row>
    <row r="613" spans="1:12" s="26" customFormat="1" outlineLevel="1">
      <c r="A613" s="240"/>
      <c r="B613" s="241" t="s">
        <v>413</v>
      </c>
      <c r="C613" s="245"/>
      <c r="D613" s="219"/>
      <c r="E613" s="220"/>
      <c r="F613" s="220"/>
      <c r="G613" s="220"/>
      <c r="H613" s="220"/>
      <c r="I613" s="220"/>
      <c r="J613" s="280"/>
      <c r="K613" s="281"/>
      <c r="L613" s="281"/>
    </row>
    <row r="614" spans="1:12" s="26" customFormat="1" outlineLevel="1">
      <c r="A614" s="240"/>
      <c r="B614" s="242" t="s">
        <v>425</v>
      </c>
      <c r="C614" s="245"/>
      <c r="D614" s="219">
        <v>1</v>
      </c>
      <c r="E614" s="220"/>
      <c r="F614" s="220">
        <v>1.2</v>
      </c>
      <c r="G614" s="220">
        <v>0.3</v>
      </c>
      <c r="H614" s="220"/>
      <c r="I614" s="220">
        <f>D614</f>
        <v>1</v>
      </c>
      <c r="J614" s="280"/>
      <c r="K614" s="281"/>
      <c r="L614" s="281"/>
    </row>
    <row r="615" spans="1:12" s="26" customFormat="1" outlineLevel="1">
      <c r="A615" s="240"/>
      <c r="B615" s="241" t="s">
        <v>414</v>
      </c>
      <c r="C615" s="245"/>
      <c r="D615" s="219"/>
      <c r="E615" s="220"/>
      <c r="F615" s="220"/>
      <c r="G615" s="220"/>
      <c r="H615" s="220"/>
      <c r="I615" s="220"/>
      <c r="J615" s="280" t="s">
        <v>1168</v>
      </c>
      <c r="K615" s="281"/>
      <c r="L615" s="281"/>
    </row>
    <row r="616" spans="1:12" s="26" customFormat="1" outlineLevel="1">
      <c r="A616" s="240"/>
      <c r="B616" s="242" t="s">
        <v>425</v>
      </c>
      <c r="C616" s="245"/>
      <c r="D616" s="219">
        <v>1</v>
      </c>
      <c r="E616" s="220"/>
      <c r="F616" s="220">
        <v>1.2</v>
      </c>
      <c r="G616" s="220">
        <v>0.3</v>
      </c>
      <c r="H616" s="220"/>
      <c r="I616" s="220">
        <f>D616</f>
        <v>1</v>
      </c>
      <c r="J616" s="280"/>
      <c r="K616" s="281"/>
      <c r="L616" s="281"/>
    </row>
    <row r="617" spans="1:12" s="26" customFormat="1" outlineLevel="1">
      <c r="A617" s="252"/>
      <c r="B617" s="253"/>
      <c r="C617" s="254"/>
      <c r="D617" s="224"/>
      <c r="E617" s="225"/>
      <c r="F617" s="225"/>
      <c r="G617" s="225"/>
      <c r="H617" s="225"/>
      <c r="I617" s="225"/>
      <c r="J617" s="280"/>
      <c r="K617" s="281"/>
      <c r="L617" s="281"/>
    </row>
    <row r="618" spans="1:12" outlineLevel="1">
      <c r="A618" s="188" t="s">
        <v>69</v>
      </c>
      <c r="B618" s="189" t="s">
        <v>163</v>
      </c>
      <c r="C618" s="233"/>
      <c r="D618" s="234"/>
      <c r="E618" s="235"/>
      <c r="F618" s="235"/>
      <c r="G618" s="235"/>
      <c r="H618" s="235"/>
      <c r="I618" s="236"/>
      <c r="J618" s="280" t="s">
        <v>1168</v>
      </c>
      <c r="K618" s="281"/>
      <c r="L618" s="281"/>
    </row>
    <row r="619" spans="1:12" s="26" customFormat="1" ht="63" outlineLevel="1">
      <c r="A619" s="210" t="s">
        <v>75</v>
      </c>
      <c r="B619" s="211" t="s">
        <v>520</v>
      </c>
      <c r="C619" s="243" t="s">
        <v>8</v>
      </c>
      <c r="D619" s="213"/>
      <c r="E619" s="214"/>
      <c r="F619" s="214"/>
      <c r="G619" s="214"/>
      <c r="H619" s="214"/>
      <c r="I619" s="215">
        <f>SUM(I620:I622)</f>
        <v>1</v>
      </c>
      <c r="J619" s="280"/>
      <c r="K619" s="281"/>
      <c r="L619" s="281"/>
    </row>
    <row r="620" spans="1:12" outlineLevel="1">
      <c r="A620" s="216"/>
      <c r="B620" s="258" t="s">
        <v>413</v>
      </c>
      <c r="C620" s="218"/>
      <c r="D620" s="219"/>
      <c r="E620" s="220"/>
      <c r="F620" s="220"/>
      <c r="G620" s="220"/>
      <c r="H620" s="220"/>
      <c r="I620" s="220"/>
      <c r="J620" s="280"/>
      <c r="K620" s="281"/>
      <c r="L620" s="281"/>
    </row>
    <row r="621" spans="1:12" s="26" customFormat="1" outlineLevel="1">
      <c r="A621" s="240"/>
      <c r="B621" s="242" t="s">
        <v>163</v>
      </c>
      <c r="C621" s="245"/>
      <c r="D621" s="219">
        <v>1</v>
      </c>
      <c r="E621" s="220"/>
      <c r="F621" s="220">
        <v>1.83</v>
      </c>
      <c r="G621" s="220">
        <v>0.6</v>
      </c>
      <c r="H621" s="220"/>
      <c r="I621" s="220">
        <f>D621</f>
        <v>1</v>
      </c>
      <c r="J621" s="280" t="s">
        <v>1168</v>
      </c>
      <c r="K621" s="281"/>
      <c r="L621" s="281"/>
    </row>
    <row r="622" spans="1:12" s="26" customFormat="1" outlineLevel="1">
      <c r="A622" s="221"/>
      <c r="B622" s="259"/>
      <c r="C622" s="223"/>
      <c r="D622" s="224"/>
      <c r="E622" s="225"/>
      <c r="F622" s="225"/>
      <c r="G622" s="225"/>
      <c r="H622" s="225"/>
      <c r="I622" s="225"/>
      <c r="J622" s="280"/>
      <c r="K622" s="281"/>
      <c r="L622" s="281"/>
    </row>
    <row r="623" spans="1:12">
      <c r="A623" s="227" t="s">
        <v>113</v>
      </c>
      <c r="B623" s="228" t="s">
        <v>14</v>
      </c>
      <c r="C623" s="229"/>
      <c r="D623" s="230"/>
      <c r="E623" s="231"/>
      <c r="F623" s="231"/>
      <c r="G623" s="231"/>
      <c r="H623" s="231"/>
      <c r="I623" s="232"/>
      <c r="J623" s="280"/>
      <c r="K623" s="281"/>
      <c r="L623" s="281"/>
    </row>
    <row r="624" spans="1:12" outlineLevel="1">
      <c r="A624" s="188" t="s">
        <v>198</v>
      </c>
      <c r="B624" s="189" t="s">
        <v>521</v>
      </c>
      <c r="C624" s="233"/>
      <c r="D624" s="234"/>
      <c r="E624" s="235"/>
      <c r="F624" s="235"/>
      <c r="G624" s="235"/>
      <c r="H624" s="235"/>
      <c r="I624" s="236"/>
      <c r="J624" s="280" t="s">
        <v>1168</v>
      </c>
      <c r="K624" s="281"/>
      <c r="L624" s="281"/>
    </row>
    <row r="625" spans="1:12" s="26" customFormat="1" ht="31.5" outlineLevel="1">
      <c r="A625" s="210" t="s">
        <v>68</v>
      </c>
      <c r="B625" s="239" t="s">
        <v>156</v>
      </c>
      <c r="C625" s="243" t="s">
        <v>7</v>
      </c>
      <c r="D625" s="213"/>
      <c r="E625" s="214"/>
      <c r="F625" s="214"/>
      <c r="G625" s="214"/>
      <c r="H625" s="214"/>
      <c r="I625" s="215">
        <f>SUM(I626:I627)</f>
        <v>1</v>
      </c>
      <c r="J625" s="280"/>
      <c r="K625" s="281"/>
      <c r="L625" s="281"/>
    </row>
    <row r="626" spans="1:12" s="26" customFormat="1" ht="31.5" outlineLevel="1">
      <c r="A626" s="240"/>
      <c r="B626" s="268" t="s">
        <v>891</v>
      </c>
      <c r="C626" s="245" t="s">
        <v>7</v>
      </c>
      <c r="D626" s="219">
        <v>1</v>
      </c>
      <c r="E626" s="220"/>
      <c r="F626" s="220"/>
      <c r="G626" s="220"/>
      <c r="H626" s="220"/>
      <c r="I626" s="220">
        <f>D626</f>
        <v>1</v>
      </c>
      <c r="J626" s="280"/>
      <c r="K626" s="281"/>
      <c r="L626" s="281"/>
    </row>
    <row r="627" spans="1:12" s="26" customFormat="1" outlineLevel="1">
      <c r="A627" s="240"/>
      <c r="B627" s="268"/>
      <c r="C627" s="245"/>
      <c r="D627" s="219"/>
      <c r="E627" s="220"/>
      <c r="F627" s="220"/>
      <c r="G627" s="220"/>
      <c r="H627" s="220"/>
      <c r="I627" s="220"/>
      <c r="J627" s="280" t="s">
        <v>1168</v>
      </c>
      <c r="K627" s="281"/>
      <c r="L627" s="281"/>
    </row>
    <row r="628" spans="1:12" s="26" customFormat="1" ht="31.5" outlineLevel="1">
      <c r="A628" s="210" t="s">
        <v>522</v>
      </c>
      <c r="B628" s="239" t="s">
        <v>310</v>
      </c>
      <c r="C628" s="243" t="s">
        <v>7</v>
      </c>
      <c r="D628" s="213"/>
      <c r="E628" s="214"/>
      <c r="F628" s="214"/>
      <c r="G628" s="214"/>
      <c r="H628" s="214"/>
      <c r="I628" s="215">
        <f>SUM(I629:I630)</f>
        <v>1</v>
      </c>
      <c r="J628" s="280"/>
      <c r="K628" s="281"/>
      <c r="L628" s="281"/>
    </row>
    <row r="629" spans="1:12" s="26" customFormat="1" ht="31.5" outlineLevel="1">
      <c r="A629" s="240"/>
      <c r="B629" s="242" t="s">
        <v>523</v>
      </c>
      <c r="C629" s="245" t="s">
        <v>7</v>
      </c>
      <c r="D629" s="219">
        <v>1</v>
      </c>
      <c r="E629" s="220"/>
      <c r="F629" s="220"/>
      <c r="G629" s="220"/>
      <c r="H629" s="220"/>
      <c r="I629" s="220">
        <f>D629</f>
        <v>1</v>
      </c>
      <c r="J629" s="280"/>
      <c r="K629" s="281"/>
      <c r="L629" s="281"/>
    </row>
    <row r="630" spans="1:12" s="26" customFormat="1" outlineLevel="1">
      <c r="A630" s="252"/>
      <c r="B630" s="253"/>
      <c r="C630" s="254"/>
      <c r="D630" s="224"/>
      <c r="E630" s="225"/>
      <c r="F630" s="225"/>
      <c r="G630" s="225"/>
      <c r="H630" s="225"/>
      <c r="I630" s="225"/>
      <c r="J630" s="280" t="s">
        <v>1168</v>
      </c>
      <c r="K630" s="281"/>
      <c r="L630" s="281"/>
    </row>
    <row r="631" spans="1:12">
      <c r="A631" s="227" t="s">
        <v>30</v>
      </c>
      <c r="B631" s="228" t="s">
        <v>524</v>
      </c>
      <c r="C631" s="229"/>
      <c r="D631" s="230"/>
      <c r="E631" s="231"/>
      <c r="F631" s="231"/>
      <c r="G631" s="231"/>
      <c r="H631" s="231"/>
      <c r="I631" s="232"/>
      <c r="J631" s="280"/>
      <c r="K631" s="281"/>
      <c r="L631" s="281"/>
    </row>
    <row r="632" spans="1:12" s="26" customFormat="1" outlineLevel="1">
      <c r="A632" s="188" t="s">
        <v>39</v>
      </c>
      <c r="B632" s="189" t="s">
        <v>525</v>
      </c>
      <c r="C632" s="233"/>
      <c r="D632" s="234"/>
      <c r="E632" s="235"/>
      <c r="F632" s="235"/>
      <c r="G632" s="235"/>
      <c r="H632" s="235"/>
      <c r="I632" s="236"/>
      <c r="J632" s="280"/>
      <c r="K632" s="281"/>
      <c r="L632" s="281"/>
    </row>
    <row r="633" spans="1:12" s="26" customFormat="1" ht="47.25" outlineLevel="1">
      <c r="A633" s="210" t="s">
        <v>72</v>
      </c>
      <c r="B633" s="211" t="s">
        <v>526</v>
      </c>
      <c r="C633" s="212" t="s">
        <v>226</v>
      </c>
      <c r="D633" s="213"/>
      <c r="E633" s="214"/>
      <c r="F633" s="214"/>
      <c r="G633" s="214"/>
      <c r="H633" s="214"/>
      <c r="I633" s="215">
        <f>SUM(I634:I636)</f>
        <v>1</v>
      </c>
      <c r="J633" s="280" t="s">
        <v>1168</v>
      </c>
      <c r="K633" s="281"/>
      <c r="L633" s="281"/>
    </row>
    <row r="634" spans="1:12" s="26" customFormat="1" outlineLevel="1">
      <c r="A634" s="216"/>
      <c r="B634" s="258" t="s">
        <v>413</v>
      </c>
      <c r="C634" s="218"/>
      <c r="D634" s="219"/>
      <c r="E634" s="220"/>
      <c r="F634" s="220"/>
      <c r="G634" s="220"/>
      <c r="H634" s="220"/>
      <c r="I634" s="220"/>
      <c r="J634" s="280"/>
      <c r="K634" s="281"/>
      <c r="L634" s="281"/>
    </row>
    <row r="635" spans="1:12" s="26" customFormat="1" outlineLevel="1">
      <c r="A635" s="216"/>
      <c r="B635" s="217" t="s">
        <v>429</v>
      </c>
      <c r="C635" s="218"/>
      <c r="D635" s="219">
        <v>1</v>
      </c>
      <c r="E635" s="220"/>
      <c r="F635" s="220"/>
      <c r="G635" s="220"/>
      <c r="H635" s="220"/>
      <c r="I635" s="220">
        <f>D635</f>
        <v>1</v>
      </c>
      <c r="J635" s="280"/>
      <c r="K635" s="281"/>
      <c r="L635" s="281"/>
    </row>
    <row r="636" spans="1:12" s="26" customFormat="1" outlineLevel="1">
      <c r="A636" s="221"/>
      <c r="B636" s="259"/>
      <c r="C636" s="223"/>
      <c r="D636" s="219"/>
      <c r="E636" s="220"/>
      <c r="F636" s="220"/>
      <c r="G636" s="220"/>
      <c r="H636" s="220"/>
      <c r="I636" s="220"/>
      <c r="J636" s="280" t="s">
        <v>1168</v>
      </c>
      <c r="K636" s="281"/>
      <c r="L636" s="281"/>
    </row>
    <row r="637" spans="1:12" s="26" customFormat="1" ht="31.5" outlineLevel="1">
      <c r="A637" s="210" t="s">
        <v>73</v>
      </c>
      <c r="B637" s="211" t="s">
        <v>527</v>
      </c>
      <c r="C637" s="212" t="s">
        <v>226</v>
      </c>
      <c r="D637" s="213"/>
      <c r="E637" s="214"/>
      <c r="F637" s="214"/>
      <c r="G637" s="214"/>
      <c r="H637" s="214"/>
      <c r="I637" s="215">
        <f>SUM(I638:I642)</f>
        <v>2</v>
      </c>
      <c r="J637" s="280"/>
      <c r="K637" s="281"/>
      <c r="L637" s="281"/>
    </row>
    <row r="638" spans="1:12" s="26" customFormat="1" outlineLevel="1">
      <c r="A638" s="216"/>
      <c r="B638" s="258" t="s">
        <v>413</v>
      </c>
      <c r="C638" s="218"/>
      <c r="D638" s="219"/>
      <c r="E638" s="220"/>
      <c r="F638" s="220"/>
      <c r="G638" s="220"/>
      <c r="H638" s="220"/>
      <c r="I638" s="220"/>
      <c r="J638" s="280"/>
      <c r="K638" s="281"/>
      <c r="L638" s="281"/>
    </row>
    <row r="639" spans="1:12" s="26" customFormat="1" outlineLevel="1">
      <c r="A639" s="216"/>
      <c r="B639" s="217" t="s">
        <v>429</v>
      </c>
      <c r="C639" s="218"/>
      <c r="D639" s="219">
        <v>1</v>
      </c>
      <c r="E639" s="220"/>
      <c r="F639" s="220"/>
      <c r="G639" s="220"/>
      <c r="H639" s="220"/>
      <c r="I639" s="220">
        <f>D639</f>
        <v>1</v>
      </c>
      <c r="J639" s="280" t="s">
        <v>1168</v>
      </c>
      <c r="K639" s="281"/>
      <c r="L639" s="281"/>
    </row>
    <row r="640" spans="1:12" s="26" customFormat="1" outlineLevel="1">
      <c r="A640" s="216"/>
      <c r="B640" s="258" t="s">
        <v>414</v>
      </c>
      <c r="C640" s="218"/>
      <c r="D640" s="219"/>
      <c r="E640" s="220"/>
      <c r="F640" s="220"/>
      <c r="G640" s="220"/>
      <c r="H640" s="220"/>
      <c r="I640" s="220"/>
      <c r="J640" s="280"/>
      <c r="K640" s="281"/>
      <c r="L640" s="281"/>
    </row>
    <row r="641" spans="1:12" s="26" customFormat="1" outlineLevel="1">
      <c r="A641" s="216"/>
      <c r="B641" s="217" t="s">
        <v>429</v>
      </c>
      <c r="C641" s="218"/>
      <c r="D641" s="219">
        <v>1</v>
      </c>
      <c r="E641" s="220"/>
      <c r="F641" s="220"/>
      <c r="G641" s="220"/>
      <c r="H641" s="220"/>
      <c r="I641" s="220">
        <f>D641</f>
        <v>1</v>
      </c>
      <c r="J641" s="280"/>
      <c r="K641" s="281"/>
      <c r="L641" s="281"/>
    </row>
    <row r="642" spans="1:12" s="26" customFormat="1" outlineLevel="1">
      <c r="A642" s="221"/>
      <c r="B642" s="259"/>
      <c r="C642" s="223"/>
      <c r="D642" s="224"/>
      <c r="E642" s="225"/>
      <c r="F642" s="225"/>
      <c r="G642" s="225"/>
      <c r="H642" s="225"/>
      <c r="I642" s="225"/>
      <c r="J642" s="280" t="s">
        <v>1168</v>
      </c>
      <c r="K642" s="281"/>
      <c r="L642" s="281"/>
    </row>
    <row r="643" spans="1:12" ht="47.25" outlineLevel="1">
      <c r="A643" s="210" t="s">
        <v>74</v>
      </c>
      <c r="B643" s="211" t="s">
        <v>528</v>
      </c>
      <c r="C643" s="212" t="s">
        <v>226</v>
      </c>
      <c r="D643" s="213"/>
      <c r="E643" s="214"/>
      <c r="F643" s="214"/>
      <c r="G643" s="214"/>
      <c r="H643" s="214"/>
      <c r="I643" s="215">
        <f>SUM(I644:I651)</f>
        <v>5</v>
      </c>
      <c r="J643" s="280"/>
      <c r="K643" s="281"/>
      <c r="L643" s="281"/>
    </row>
    <row r="644" spans="1:12" outlineLevel="1">
      <c r="A644" s="216"/>
      <c r="B644" s="258" t="s">
        <v>413</v>
      </c>
      <c r="C644" s="218"/>
      <c r="D644" s="219"/>
      <c r="E644" s="220"/>
      <c r="F644" s="220"/>
      <c r="G644" s="220"/>
      <c r="H644" s="220"/>
      <c r="I644" s="220"/>
      <c r="J644" s="280"/>
      <c r="K644" s="281"/>
      <c r="L644" s="281"/>
    </row>
    <row r="645" spans="1:12" outlineLevel="1">
      <c r="A645" s="216"/>
      <c r="B645" s="217" t="s">
        <v>423</v>
      </c>
      <c r="C645" s="218"/>
      <c r="D645" s="219">
        <v>1</v>
      </c>
      <c r="E645" s="220"/>
      <c r="F645" s="220"/>
      <c r="G645" s="220"/>
      <c r="H645" s="220"/>
      <c r="I645" s="220">
        <f>D645</f>
        <v>1</v>
      </c>
      <c r="J645" s="280" t="s">
        <v>1168</v>
      </c>
      <c r="K645" s="281"/>
      <c r="L645" s="281"/>
    </row>
    <row r="646" spans="1:12" outlineLevel="1">
      <c r="A646" s="216"/>
      <c r="B646" s="217" t="s">
        <v>424</v>
      </c>
      <c r="C646" s="218"/>
      <c r="D646" s="219">
        <v>1</v>
      </c>
      <c r="E646" s="220"/>
      <c r="F646" s="220"/>
      <c r="G646" s="220"/>
      <c r="H646" s="220"/>
      <c r="I646" s="220">
        <f>D646</f>
        <v>1</v>
      </c>
      <c r="J646" s="280"/>
      <c r="K646" s="281"/>
      <c r="L646" s="281"/>
    </row>
    <row r="647" spans="1:12" outlineLevel="1">
      <c r="A647" s="216"/>
      <c r="B647" s="258" t="s">
        <v>414</v>
      </c>
      <c r="C647" s="218"/>
      <c r="D647" s="219"/>
      <c r="E647" s="220"/>
      <c r="F647" s="220"/>
      <c r="G647" s="220"/>
      <c r="H647" s="220"/>
      <c r="I647" s="220"/>
      <c r="J647" s="280"/>
      <c r="K647" s="281"/>
      <c r="L647" s="281"/>
    </row>
    <row r="648" spans="1:12" outlineLevel="1">
      <c r="A648" s="216"/>
      <c r="B648" s="217" t="s">
        <v>423</v>
      </c>
      <c r="C648" s="218"/>
      <c r="D648" s="219">
        <v>1</v>
      </c>
      <c r="E648" s="220"/>
      <c r="F648" s="220"/>
      <c r="G648" s="220"/>
      <c r="H648" s="220"/>
      <c r="I648" s="220">
        <f>D648</f>
        <v>1</v>
      </c>
      <c r="J648" s="280" t="s">
        <v>1168</v>
      </c>
      <c r="K648" s="281"/>
      <c r="L648" s="281"/>
    </row>
    <row r="649" spans="1:12" outlineLevel="1">
      <c r="A649" s="216"/>
      <c r="B649" s="217" t="s">
        <v>424</v>
      </c>
      <c r="C649" s="218"/>
      <c r="D649" s="219">
        <v>1</v>
      </c>
      <c r="E649" s="220"/>
      <c r="F649" s="220"/>
      <c r="G649" s="220"/>
      <c r="H649" s="220"/>
      <c r="I649" s="220">
        <f>D649</f>
        <v>1</v>
      </c>
      <c r="J649" s="280"/>
      <c r="K649" s="281"/>
      <c r="L649" s="281"/>
    </row>
    <row r="650" spans="1:12" s="26" customFormat="1" outlineLevel="1">
      <c r="A650" s="216"/>
      <c r="B650" s="217" t="s">
        <v>429</v>
      </c>
      <c r="C650" s="218"/>
      <c r="D650" s="219">
        <v>1</v>
      </c>
      <c r="E650" s="220"/>
      <c r="F650" s="220"/>
      <c r="G650" s="220"/>
      <c r="H650" s="220"/>
      <c r="I650" s="220">
        <f>D650</f>
        <v>1</v>
      </c>
      <c r="J650" s="280"/>
      <c r="K650" s="281"/>
      <c r="L650" s="281"/>
    </row>
    <row r="651" spans="1:12" s="26" customFormat="1" outlineLevel="1">
      <c r="A651" s="221"/>
      <c r="B651" s="259"/>
      <c r="C651" s="223"/>
      <c r="D651" s="219"/>
      <c r="E651" s="220"/>
      <c r="F651" s="220"/>
      <c r="G651" s="220"/>
      <c r="H651" s="220"/>
      <c r="I651" s="220"/>
      <c r="J651" s="280" t="s">
        <v>1168</v>
      </c>
      <c r="K651" s="281"/>
      <c r="L651" s="281"/>
    </row>
    <row r="652" spans="1:12" s="26" customFormat="1" ht="31.5" outlineLevel="1">
      <c r="A652" s="210" t="s">
        <v>313</v>
      </c>
      <c r="B652" s="211" t="s">
        <v>529</v>
      </c>
      <c r="C652" s="212" t="s">
        <v>226</v>
      </c>
      <c r="D652" s="213"/>
      <c r="E652" s="214"/>
      <c r="F652" s="214"/>
      <c r="G652" s="214"/>
      <c r="H652" s="214"/>
      <c r="I652" s="215">
        <f>SUM(I653:I657)</f>
        <v>4</v>
      </c>
      <c r="J652" s="280"/>
      <c r="K652" s="281"/>
      <c r="L652" s="281"/>
    </row>
    <row r="653" spans="1:12" s="26" customFormat="1" outlineLevel="1">
      <c r="A653" s="216"/>
      <c r="B653" s="258" t="s">
        <v>413</v>
      </c>
      <c r="C653" s="218"/>
      <c r="D653" s="219"/>
      <c r="E653" s="220"/>
      <c r="F653" s="220"/>
      <c r="G653" s="220"/>
      <c r="H653" s="220"/>
      <c r="I653" s="220"/>
      <c r="J653" s="280"/>
      <c r="K653" s="281"/>
      <c r="L653" s="281"/>
    </row>
    <row r="654" spans="1:12" s="26" customFormat="1" outlineLevel="1">
      <c r="A654" s="216"/>
      <c r="B654" s="217" t="s">
        <v>425</v>
      </c>
      <c r="C654" s="218"/>
      <c r="D654" s="219">
        <v>2</v>
      </c>
      <c r="E654" s="220"/>
      <c r="F654" s="220"/>
      <c r="G654" s="220"/>
      <c r="H654" s="220"/>
      <c r="I654" s="220">
        <f>D654</f>
        <v>2</v>
      </c>
      <c r="J654" s="280" t="s">
        <v>1168</v>
      </c>
      <c r="K654" s="281"/>
      <c r="L654" s="281"/>
    </row>
    <row r="655" spans="1:12" s="26" customFormat="1" outlineLevel="1">
      <c r="A655" s="216"/>
      <c r="B655" s="258" t="s">
        <v>414</v>
      </c>
      <c r="C655" s="218"/>
      <c r="D655" s="219"/>
      <c r="E655" s="220"/>
      <c r="F655" s="220"/>
      <c r="G655" s="220"/>
      <c r="H655" s="220"/>
      <c r="I655" s="220"/>
      <c r="J655" s="280"/>
      <c r="K655" s="281"/>
      <c r="L655" s="281"/>
    </row>
    <row r="656" spans="1:12" s="26" customFormat="1" outlineLevel="1">
      <c r="A656" s="216"/>
      <c r="B656" s="217" t="s">
        <v>425</v>
      </c>
      <c r="C656" s="218"/>
      <c r="D656" s="219">
        <v>2</v>
      </c>
      <c r="E656" s="220"/>
      <c r="F656" s="220"/>
      <c r="G656" s="220"/>
      <c r="H656" s="220"/>
      <c r="I656" s="220">
        <f>D656</f>
        <v>2</v>
      </c>
      <c r="J656" s="280"/>
      <c r="K656" s="281"/>
      <c r="L656" s="281"/>
    </row>
    <row r="657" spans="1:12" s="26" customFormat="1" outlineLevel="1">
      <c r="A657" s="221"/>
      <c r="B657" s="259"/>
      <c r="C657" s="223"/>
      <c r="D657" s="224"/>
      <c r="E657" s="225"/>
      <c r="F657" s="225"/>
      <c r="G657" s="225"/>
      <c r="H657" s="225"/>
      <c r="I657" s="225"/>
      <c r="J657" s="280" t="s">
        <v>1168</v>
      </c>
      <c r="K657" s="281"/>
      <c r="L657" s="281"/>
    </row>
    <row r="658" spans="1:12" s="26" customFormat="1" outlineLevel="1">
      <c r="A658" s="188" t="s">
        <v>200</v>
      </c>
      <c r="B658" s="189" t="s">
        <v>530</v>
      </c>
      <c r="C658" s="233"/>
      <c r="D658" s="234"/>
      <c r="E658" s="235"/>
      <c r="F658" s="235"/>
      <c r="G658" s="235"/>
      <c r="H658" s="235"/>
      <c r="I658" s="236"/>
      <c r="J658" s="280"/>
      <c r="K658" s="281"/>
      <c r="L658" s="281"/>
    </row>
    <row r="659" spans="1:12" s="26" customFormat="1" ht="47.25" outlineLevel="1">
      <c r="A659" s="210" t="s">
        <v>201</v>
      </c>
      <c r="B659" s="211" t="s">
        <v>531</v>
      </c>
      <c r="C659" s="212" t="s">
        <v>226</v>
      </c>
      <c r="D659" s="213"/>
      <c r="E659" s="214"/>
      <c r="F659" s="214"/>
      <c r="G659" s="214"/>
      <c r="H659" s="214"/>
      <c r="I659" s="215">
        <f>SUM(I661:I662)</f>
        <v>1</v>
      </c>
      <c r="J659" s="280"/>
      <c r="K659" s="281"/>
      <c r="L659" s="281"/>
    </row>
    <row r="660" spans="1:12" s="26" customFormat="1" outlineLevel="1">
      <c r="A660" s="216"/>
      <c r="B660" s="258" t="s">
        <v>413</v>
      </c>
      <c r="C660" s="218"/>
      <c r="D660" s="219"/>
      <c r="E660" s="220"/>
      <c r="F660" s="220"/>
      <c r="G660" s="220"/>
      <c r="H660" s="220"/>
      <c r="I660" s="220"/>
      <c r="J660" s="280" t="s">
        <v>1168</v>
      </c>
      <c r="K660" s="281"/>
      <c r="L660" s="281"/>
    </row>
    <row r="661" spans="1:12" s="26" customFormat="1" outlineLevel="1">
      <c r="A661" s="216"/>
      <c r="B661" s="217" t="s">
        <v>163</v>
      </c>
      <c r="C661" s="218"/>
      <c r="D661" s="219">
        <v>1</v>
      </c>
      <c r="E661" s="220"/>
      <c r="F661" s="220"/>
      <c r="G661" s="220"/>
      <c r="H661" s="220"/>
      <c r="I661" s="220">
        <f>D661</f>
        <v>1</v>
      </c>
      <c r="J661" s="280"/>
      <c r="K661" s="281"/>
      <c r="L661" s="281"/>
    </row>
    <row r="662" spans="1:12" s="26" customFormat="1" outlineLevel="1">
      <c r="A662" s="221"/>
      <c r="B662" s="259"/>
      <c r="C662" s="223"/>
      <c r="D662" s="224"/>
      <c r="E662" s="225"/>
      <c r="F662" s="225"/>
      <c r="G662" s="225"/>
      <c r="H662" s="225"/>
      <c r="I662" s="225"/>
      <c r="J662" s="280"/>
      <c r="K662" s="281"/>
      <c r="L662" s="281"/>
    </row>
    <row r="663" spans="1:12" s="26" customFormat="1" ht="31.5" outlineLevel="1">
      <c r="A663" s="210" t="s">
        <v>202</v>
      </c>
      <c r="B663" s="211" t="s">
        <v>532</v>
      </c>
      <c r="C663" s="212" t="s">
        <v>226</v>
      </c>
      <c r="D663" s="213"/>
      <c r="E663" s="214"/>
      <c r="F663" s="214"/>
      <c r="G663" s="214"/>
      <c r="H663" s="214"/>
      <c r="I663" s="215">
        <f>SUM(I664:I670)</f>
        <v>6</v>
      </c>
      <c r="J663" s="280" t="s">
        <v>1168</v>
      </c>
      <c r="K663" s="281"/>
      <c r="L663" s="281"/>
    </row>
    <row r="664" spans="1:12" s="26" customFormat="1" outlineLevel="1">
      <c r="A664" s="216"/>
      <c r="B664" s="258" t="s">
        <v>413</v>
      </c>
      <c r="C664" s="218"/>
      <c r="D664" s="219"/>
      <c r="E664" s="220"/>
      <c r="F664" s="220"/>
      <c r="G664" s="220"/>
      <c r="H664" s="220"/>
      <c r="I664" s="220"/>
      <c r="J664" s="280"/>
      <c r="K664" s="281"/>
      <c r="L664" s="281"/>
    </row>
    <row r="665" spans="1:12" s="26" customFormat="1" outlineLevel="1">
      <c r="A665" s="216"/>
      <c r="B665" s="217" t="s">
        <v>425</v>
      </c>
      <c r="C665" s="218"/>
      <c r="D665" s="219">
        <v>2</v>
      </c>
      <c r="E665" s="220"/>
      <c r="F665" s="220"/>
      <c r="G665" s="220"/>
      <c r="H665" s="220"/>
      <c r="I665" s="220">
        <f>D665</f>
        <v>2</v>
      </c>
      <c r="J665" s="280"/>
      <c r="K665" s="281"/>
      <c r="L665" s="281"/>
    </row>
    <row r="666" spans="1:12" s="26" customFormat="1" outlineLevel="1">
      <c r="A666" s="216"/>
      <c r="B666" s="217" t="s">
        <v>429</v>
      </c>
      <c r="C666" s="218"/>
      <c r="D666" s="219">
        <v>1</v>
      </c>
      <c r="E666" s="220"/>
      <c r="F666" s="220"/>
      <c r="G666" s="220"/>
      <c r="H666" s="220"/>
      <c r="I666" s="220">
        <f>D666</f>
        <v>1</v>
      </c>
      <c r="J666" s="280" t="s">
        <v>1168</v>
      </c>
      <c r="K666" s="281"/>
      <c r="L666" s="281"/>
    </row>
    <row r="667" spans="1:12" s="26" customFormat="1" outlineLevel="1">
      <c r="A667" s="216"/>
      <c r="B667" s="258" t="s">
        <v>414</v>
      </c>
      <c r="C667" s="218"/>
      <c r="D667" s="219"/>
      <c r="E667" s="220"/>
      <c r="F667" s="220"/>
      <c r="G667" s="220"/>
      <c r="H667" s="220"/>
      <c r="I667" s="220"/>
      <c r="J667" s="280"/>
      <c r="K667" s="281"/>
      <c r="L667" s="281"/>
    </row>
    <row r="668" spans="1:12" s="26" customFormat="1" outlineLevel="1">
      <c r="A668" s="216"/>
      <c r="B668" s="217" t="s">
        <v>425</v>
      </c>
      <c r="C668" s="218"/>
      <c r="D668" s="219">
        <v>2</v>
      </c>
      <c r="E668" s="220"/>
      <c r="F668" s="220"/>
      <c r="G668" s="220"/>
      <c r="H668" s="220"/>
      <c r="I668" s="220">
        <f>D668</f>
        <v>2</v>
      </c>
      <c r="J668" s="280"/>
      <c r="K668" s="281"/>
      <c r="L668" s="281"/>
    </row>
    <row r="669" spans="1:12" s="26" customFormat="1" outlineLevel="1">
      <c r="A669" s="216"/>
      <c r="B669" s="217" t="s">
        <v>429</v>
      </c>
      <c r="C669" s="218"/>
      <c r="D669" s="219">
        <v>1</v>
      </c>
      <c r="E669" s="220"/>
      <c r="F669" s="220"/>
      <c r="G669" s="220"/>
      <c r="H669" s="220"/>
      <c r="I669" s="220">
        <f>D669</f>
        <v>1</v>
      </c>
      <c r="J669" s="280" t="s">
        <v>1168</v>
      </c>
      <c r="K669" s="281"/>
      <c r="L669" s="281"/>
    </row>
    <row r="670" spans="1:12" s="26" customFormat="1" outlineLevel="1">
      <c r="A670" s="221"/>
      <c r="B670" s="259"/>
      <c r="C670" s="223"/>
      <c r="D670" s="224"/>
      <c r="E670" s="225"/>
      <c r="F670" s="225"/>
      <c r="G670" s="225"/>
      <c r="H670" s="225"/>
      <c r="I670" s="225"/>
      <c r="J670" s="280"/>
      <c r="K670" s="281"/>
      <c r="L670" s="281"/>
    </row>
    <row r="671" spans="1:12" s="26" customFormat="1" ht="31.5" outlineLevel="1">
      <c r="A671" s="210" t="s">
        <v>203</v>
      </c>
      <c r="B671" s="211" t="s">
        <v>533</v>
      </c>
      <c r="C671" s="212" t="s">
        <v>226</v>
      </c>
      <c r="D671" s="213"/>
      <c r="E671" s="214"/>
      <c r="F671" s="214"/>
      <c r="G671" s="214"/>
      <c r="H671" s="214"/>
      <c r="I671" s="215">
        <f>SUM(I672:I680)</f>
        <v>6</v>
      </c>
      <c r="J671" s="280"/>
      <c r="K671" s="281"/>
      <c r="L671" s="281"/>
    </row>
    <row r="672" spans="1:12" s="26" customFormat="1" outlineLevel="1">
      <c r="A672" s="216"/>
      <c r="B672" s="258" t="s">
        <v>413</v>
      </c>
      <c r="C672" s="218"/>
      <c r="D672" s="219"/>
      <c r="E672" s="220"/>
      <c r="F672" s="220"/>
      <c r="G672" s="220"/>
      <c r="H672" s="220"/>
      <c r="I672" s="220"/>
      <c r="J672" s="280" t="s">
        <v>1168</v>
      </c>
      <c r="K672" s="281"/>
      <c r="L672" s="281"/>
    </row>
    <row r="673" spans="1:12" s="26" customFormat="1" outlineLevel="1">
      <c r="A673" s="216"/>
      <c r="B673" s="217" t="s">
        <v>423</v>
      </c>
      <c r="C673" s="218"/>
      <c r="D673" s="219">
        <v>1</v>
      </c>
      <c r="E673" s="220"/>
      <c r="F673" s="220"/>
      <c r="G673" s="220"/>
      <c r="H673" s="220"/>
      <c r="I673" s="220">
        <f>D673</f>
        <v>1</v>
      </c>
      <c r="J673" s="280"/>
      <c r="K673" s="281"/>
      <c r="L673" s="281"/>
    </row>
    <row r="674" spans="1:12" s="26" customFormat="1" outlineLevel="1">
      <c r="A674" s="216"/>
      <c r="B674" s="217" t="s">
        <v>424</v>
      </c>
      <c r="C674" s="218"/>
      <c r="D674" s="219">
        <v>1</v>
      </c>
      <c r="E674" s="220"/>
      <c r="F674" s="220"/>
      <c r="G674" s="220"/>
      <c r="H674" s="220"/>
      <c r="I674" s="220">
        <f>D674</f>
        <v>1</v>
      </c>
      <c r="J674" s="280"/>
      <c r="K674" s="281"/>
      <c r="L674" s="281"/>
    </row>
    <row r="675" spans="1:12" outlineLevel="1">
      <c r="A675" s="216"/>
      <c r="B675" s="217" t="s">
        <v>429</v>
      </c>
      <c r="C675" s="218"/>
      <c r="D675" s="219">
        <v>1</v>
      </c>
      <c r="E675" s="220"/>
      <c r="F675" s="220"/>
      <c r="G675" s="220"/>
      <c r="H675" s="220"/>
      <c r="I675" s="220">
        <f>D675</f>
        <v>1</v>
      </c>
      <c r="J675" s="280" t="s">
        <v>1168</v>
      </c>
      <c r="K675" s="281"/>
      <c r="L675" s="281"/>
    </row>
    <row r="676" spans="1:12" s="26" customFormat="1" outlineLevel="1">
      <c r="A676" s="216"/>
      <c r="B676" s="258" t="s">
        <v>414</v>
      </c>
      <c r="C676" s="218"/>
      <c r="D676" s="219"/>
      <c r="E676" s="220"/>
      <c r="F676" s="220"/>
      <c r="G676" s="220"/>
      <c r="H676" s="220"/>
      <c r="I676" s="220"/>
      <c r="J676" s="280"/>
      <c r="K676" s="281"/>
      <c r="L676" s="281"/>
    </row>
    <row r="677" spans="1:12" s="26" customFormat="1" outlineLevel="1">
      <c r="A677" s="216"/>
      <c r="B677" s="217" t="s">
        <v>423</v>
      </c>
      <c r="C677" s="218"/>
      <c r="D677" s="219">
        <v>1</v>
      </c>
      <c r="E677" s="220"/>
      <c r="F677" s="220"/>
      <c r="G677" s="220"/>
      <c r="H677" s="220"/>
      <c r="I677" s="220">
        <f>D677</f>
        <v>1</v>
      </c>
      <c r="J677" s="280"/>
      <c r="K677" s="281"/>
      <c r="L677" s="281"/>
    </row>
    <row r="678" spans="1:12" s="26" customFormat="1" outlineLevel="1">
      <c r="A678" s="216"/>
      <c r="B678" s="217" t="s">
        <v>424</v>
      </c>
      <c r="C678" s="218"/>
      <c r="D678" s="219">
        <v>1</v>
      </c>
      <c r="E678" s="220"/>
      <c r="F678" s="220"/>
      <c r="G678" s="220"/>
      <c r="H678" s="220"/>
      <c r="I678" s="220">
        <f>D678</f>
        <v>1</v>
      </c>
      <c r="J678" s="280" t="s">
        <v>1168</v>
      </c>
      <c r="K678" s="281"/>
      <c r="L678" s="281"/>
    </row>
    <row r="679" spans="1:12" s="26" customFormat="1" outlineLevel="1">
      <c r="A679" s="216"/>
      <c r="B679" s="217" t="s">
        <v>429</v>
      </c>
      <c r="C679" s="218"/>
      <c r="D679" s="219">
        <v>1</v>
      </c>
      <c r="E679" s="220"/>
      <c r="F679" s="220"/>
      <c r="G679" s="220"/>
      <c r="H679" s="220"/>
      <c r="I679" s="220">
        <f>D679</f>
        <v>1</v>
      </c>
      <c r="J679" s="280"/>
      <c r="K679" s="281"/>
      <c r="L679" s="281"/>
    </row>
    <row r="680" spans="1:12" outlineLevel="1">
      <c r="A680" s="221"/>
      <c r="B680" s="259"/>
      <c r="C680" s="223"/>
      <c r="D680" s="224"/>
      <c r="E680" s="225"/>
      <c r="F680" s="225"/>
      <c r="G680" s="225"/>
      <c r="H680" s="225"/>
      <c r="I680" s="225"/>
      <c r="J680" s="280"/>
      <c r="K680" s="281"/>
      <c r="L680" s="281"/>
    </row>
    <row r="681" spans="1:12" s="26" customFormat="1" ht="31.5" outlineLevel="1">
      <c r="A681" s="210" t="s">
        <v>319</v>
      </c>
      <c r="B681" s="211" t="s">
        <v>892</v>
      </c>
      <c r="C681" s="212" t="s">
        <v>226</v>
      </c>
      <c r="D681" s="213"/>
      <c r="E681" s="214"/>
      <c r="F681" s="214"/>
      <c r="G681" s="214"/>
      <c r="H681" s="214"/>
      <c r="I681" s="215">
        <f>SUM(I682:I689)</f>
        <v>7</v>
      </c>
      <c r="J681" s="280" t="s">
        <v>1168</v>
      </c>
      <c r="K681" s="281"/>
      <c r="L681" s="281"/>
    </row>
    <row r="682" spans="1:12" s="26" customFormat="1" outlineLevel="1">
      <c r="A682" s="216"/>
      <c r="B682" s="258" t="s">
        <v>413</v>
      </c>
      <c r="C682" s="218"/>
      <c r="D682" s="219"/>
      <c r="E682" s="220"/>
      <c r="F682" s="220"/>
      <c r="G682" s="220"/>
      <c r="H682" s="220"/>
      <c r="I682" s="220"/>
      <c r="J682" s="280"/>
      <c r="K682" s="281"/>
      <c r="L682" s="281"/>
    </row>
    <row r="683" spans="1:12" s="26" customFormat="1" outlineLevel="1">
      <c r="A683" s="216"/>
      <c r="B683" s="217" t="s">
        <v>163</v>
      </c>
      <c r="C683" s="218"/>
      <c r="D683" s="219">
        <v>1</v>
      </c>
      <c r="E683" s="220"/>
      <c r="F683" s="220"/>
      <c r="G683" s="220"/>
      <c r="H683" s="220"/>
      <c r="I683" s="220">
        <f>D683</f>
        <v>1</v>
      </c>
      <c r="J683" s="280"/>
      <c r="K683" s="281"/>
      <c r="L683" s="281"/>
    </row>
    <row r="684" spans="1:12" s="26" customFormat="1" outlineLevel="1">
      <c r="A684" s="216"/>
      <c r="B684" s="217" t="s">
        <v>425</v>
      </c>
      <c r="C684" s="218"/>
      <c r="D684" s="219">
        <v>2</v>
      </c>
      <c r="E684" s="220"/>
      <c r="F684" s="220"/>
      <c r="G684" s="220"/>
      <c r="H684" s="220"/>
      <c r="I684" s="220">
        <f>D684</f>
        <v>2</v>
      </c>
      <c r="J684" s="280" t="s">
        <v>1168</v>
      </c>
      <c r="K684" s="281"/>
      <c r="L684" s="281"/>
    </row>
    <row r="685" spans="1:12" s="26" customFormat="1" outlineLevel="1">
      <c r="A685" s="216"/>
      <c r="B685" s="217" t="s">
        <v>429</v>
      </c>
      <c r="C685" s="218"/>
      <c r="D685" s="219">
        <v>1</v>
      </c>
      <c r="E685" s="220"/>
      <c r="F685" s="220"/>
      <c r="G685" s="220"/>
      <c r="H685" s="220"/>
      <c r="I685" s="220">
        <f>D685</f>
        <v>1</v>
      </c>
      <c r="J685" s="280"/>
      <c r="K685" s="281"/>
      <c r="L685" s="281"/>
    </row>
    <row r="686" spans="1:12" s="26" customFormat="1" outlineLevel="1">
      <c r="A686" s="216"/>
      <c r="B686" s="258" t="s">
        <v>414</v>
      </c>
      <c r="C686" s="218"/>
      <c r="D686" s="219"/>
      <c r="E686" s="220"/>
      <c r="F686" s="220"/>
      <c r="G686" s="220"/>
      <c r="H686" s="220"/>
      <c r="I686" s="220"/>
      <c r="J686" s="280"/>
      <c r="K686" s="281"/>
      <c r="L686" s="281"/>
    </row>
    <row r="687" spans="1:12" s="26" customFormat="1" outlineLevel="1">
      <c r="A687" s="216"/>
      <c r="B687" s="217" t="s">
        <v>425</v>
      </c>
      <c r="C687" s="218"/>
      <c r="D687" s="219">
        <v>2</v>
      </c>
      <c r="E687" s="220"/>
      <c r="F687" s="220"/>
      <c r="G687" s="220"/>
      <c r="H687" s="220"/>
      <c r="I687" s="220">
        <f>D687</f>
        <v>2</v>
      </c>
      <c r="J687" s="280" t="s">
        <v>1168</v>
      </c>
      <c r="K687" s="281"/>
      <c r="L687" s="281"/>
    </row>
    <row r="688" spans="1:12" s="26" customFormat="1" outlineLevel="1">
      <c r="A688" s="216"/>
      <c r="B688" s="217" t="s">
        <v>429</v>
      </c>
      <c r="C688" s="218"/>
      <c r="D688" s="219">
        <v>1</v>
      </c>
      <c r="E688" s="220"/>
      <c r="F688" s="220"/>
      <c r="G688" s="220"/>
      <c r="H688" s="220"/>
      <c r="I688" s="220">
        <f>D688</f>
        <v>1</v>
      </c>
      <c r="J688" s="280"/>
      <c r="K688" s="281"/>
      <c r="L688" s="281"/>
    </row>
    <row r="689" spans="1:12" s="26" customFormat="1" outlineLevel="1">
      <c r="A689" s="221"/>
      <c r="B689" s="259"/>
      <c r="C689" s="223"/>
      <c r="D689" s="224"/>
      <c r="E689" s="225"/>
      <c r="F689" s="225"/>
      <c r="G689" s="225"/>
      <c r="H689" s="225"/>
      <c r="I689" s="225"/>
      <c r="J689" s="280"/>
      <c r="K689" s="281"/>
      <c r="L689" s="281"/>
    </row>
    <row r="690" spans="1:12" s="26" customFormat="1" ht="31.5" outlineLevel="1">
      <c r="A690" s="210" t="s">
        <v>320</v>
      </c>
      <c r="B690" s="211" t="s">
        <v>534</v>
      </c>
      <c r="C690" s="212" t="s">
        <v>226</v>
      </c>
      <c r="D690" s="213"/>
      <c r="E690" s="214"/>
      <c r="F690" s="214"/>
      <c r="G690" s="214"/>
      <c r="H690" s="214"/>
      <c r="I690" s="215">
        <f>SUM(I691:I698)</f>
        <v>7</v>
      </c>
      <c r="J690" s="280" t="s">
        <v>1168</v>
      </c>
      <c r="K690" s="281"/>
      <c r="L690" s="281"/>
    </row>
    <row r="691" spans="1:12" s="26" customFormat="1" outlineLevel="1">
      <c r="A691" s="216"/>
      <c r="B691" s="258" t="s">
        <v>413</v>
      </c>
      <c r="C691" s="218"/>
      <c r="D691" s="219"/>
      <c r="E691" s="220"/>
      <c r="F691" s="220"/>
      <c r="G691" s="220"/>
      <c r="H691" s="220"/>
      <c r="I691" s="220"/>
      <c r="J691" s="280"/>
      <c r="K691" s="281"/>
      <c r="L691" s="281"/>
    </row>
    <row r="692" spans="1:12" s="26" customFormat="1" outlineLevel="1">
      <c r="A692" s="216"/>
      <c r="B692" s="217" t="s">
        <v>163</v>
      </c>
      <c r="C692" s="218"/>
      <c r="D692" s="219">
        <v>1</v>
      </c>
      <c r="E692" s="220"/>
      <c r="F692" s="220"/>
      <c r="G692" s="220"/>
      <c r="H692" s="220"/>
      <c r="I692" s="220">
        <f>D692</f>
        <v>1</v>
      </c>
      <c r="J692" s="280"/>
      <c r="K692" s="281"/>
      <c r="L692" s="281"/>
    </row>
    <row r="693" spans="1:12" s="26" customFormat="1" outlineLevel="1">
      <c r="A693" s="216"/>
      <c r="B693" s="217" t="s">
        <v>425</v>
      </c>
      <c r="C693" s="218"/>
      <c r="D693" s="219">
        <v>2</v>
      </c>
      <c r="E693" s="220"/>
      <c r="F693" s="220"/>
      <c r="G693" s="220"/>
      <c r="H693" s="220"/>
      <c r="I693" s="220">
        <f>D693</f>
        <v>2</v>
      </c>
      <c r="J693" s="280" t="s">
        <v>1168</v>
      </c>
      <c r="K693" s="281"/>
      <c r="L693" s="281"/>
    </row>
    <row r="694" spans="1:12" s="26" customFormat="1" outlineLevel="1">
      <c r="A694" s="216"/>
      <c r="B694" s="217" t="s">
        <v>429</v>
      </c>
      <c r="C694" s="218"/>
      <c r="D694" s="219">
        <v>1</v>
      </c>
      <c r="E694" s="220"/>
      <c r="F694" s="220"/>
      <c r="G694" s="220"/>
      <c r="H694" s="220"/>
      <c r="I694" s="220">
        <f>D694</f>
        <v>1</v>
      </c>
      <c r="J694" s="280"/>
      <c r="K694" s="281"/>
      <c r="L694" s="281"/>
    </row>
    <row r="695" spans="1:12" s="26" customFormat="1" outlineLevel="1">
      <c r="A695" s="216"/>
      <c r="B695" s="258" t="s">
        <v>414</v>
      </c>
      <c r="C695" s="218"/>
      <c r="D695" s="219"/>
      <c r="E695" s="220"/>
      <c r="F695" s="220"/>
      <c r="G695" s="220"/>
      <c r="H695" s="220"/>
      <c r="I695" s="220"/>
      <c r="J695" s="280"/>
      <c r="K695" s="281"/>
      <c r="L695" s="281"/>
    </row>
    <row r="696" spans="1:12" s="26" customFormat="1" outlineLevel="1">
      <c r="A696" s="216"/>
      <c r="B696" s="217" t="s">
        <v>425</v>
      </c>
      <c r="C696" s="218"/>
      <c r="D696" s="219">
        <v>2</v>
      </c>
      <c r="E696" s="220"/>
      <c r="F696" s="220"/>
      <c r="G696" s="220"/>
      <c r="H696" s="220"/>
      <c r="I696" s="220">
        <f>D696</f>
        <v>2</v>
      </c>
      <c r="J696" s="280" t="s">
        <v>1168</v>
      </c>
      <c r="K696" s="281"/>
      <c r="L696" s="281"/>
    </row>
    <row r="697" spans="1:12" s="26" customFormat="1" outlineLevel="1">
      <c r="A697" s="216"/>
      <c r="B697" s="217" t="s">
        <v>429</v>
      </c>
      <c r="C697" s="218"/>
      <c r="D697" s="219">
        <v>1</v>
      </c>
      <c r="E697" s="220"/>
      <c r="F697" s="220"/>
      <c r="G697" s="220"/>
      <c r="H697" s="220"/>
      <c r="I697" s="220">
        <f>D697</f>
        <v>1</v>
      </c>
      <c r="J697" s="280"/>
      <c r="K697" s="281"/>
      <c r="L697" s="281"/>
    </row>
    <row r="698" spans="1:12" s="26" customFormat="1" outlineLevel="1">
      <c r="A698" s="221"/>
      <c r="B698" s="259"/>
      <c r="C698" s="223"/>
      <c r="D698" s="224"/>
      <c r="E698" s="225"/>
      <c r="F698" s="225"/>
      <c r="G698" s="225"/>
      <c r="H698" s="225"/>
      <c r="I698" s="225"/>
      <c r="J698" s="280"/>
      <c r="K698" s="281"/>
      <c r="L698" s="281"/>
    </row>
    <row r="699" spans="1:12" s="26" customFormat="1" outlineLevel="1">
      <c r="A699" s="188" t="s">
        <v>322</v>
      </c>
      <c r="B699" s="189" t="s">
        <v>535</v>
      </c>
      <c r="C699" s="233"/>
      <c r="D699" s="234"/>
      <c r="E699" s="235"/>
      <c r="F699" s="235"/>
      <c r="G699" s="235"/>
      <c r="H699" s="235"/>
      <c r="I699" s="236"/>
      <c r="J699" s="280" t="s">
        <v>1168</v>
      </c>
      <c r="K699" s="281"/>
      <c r="L699" s="281"/>
    </row>
    <row r="700" spans="1:12" s="26" customFormat="1" ht="47.25" outlineLevel="1">
      <c r="A700" s="210" t="s">
        <v>323</v>
      </c>
      <c r="B700" s="211" t="s">
        <v>536</v>
      </c>
      <c r="C700" s="212" t="s">
        <v>226</v>
      </c>
      <c r="D700" s="213"/>
      <c r="E700" s="214"/>
      <c r="F700" s="214"/>
      <c r="G700" s="214"/>
      <c r="H700" s="214"/>
      <c r="I700" s="215">
        <f>SUM(I701:I703)</f>
        <v>1</v>
      </c>
      <c r="J700" s="280"/>
      <c r="K700" s="281"/>
      <c r="L700" s="281"/>
    </row>
    <row r="701" spans="1:12" s="26" customFormat="1" outlineLevel="1">
      <c r="A701" s="216"/>
      <c r="B701" s="258" t="s">
        <v>413</v>
      </c>
      <c r="C701" s="218"/>
      <c r="D701" s="219"/>
      <c r="E701" s="220"/>
      <c r="F701" s="220"/>
      <c r="G701" s="220"/>
      <c r="H701" s="220"/>
      <c r="I701" s="220"/>
      <c r="J701" s="280"/>
      <c r="K701" s="281"/>
      <c r="L701" s="281"/>
    </row>
    <row r="702" spans="1:12" s="26" customFormat="1" outlineLevel="1">
      <c r="A702" s="216"/>
      <c r="B702" s="217" t="s">
        <v>163</v>
      </c>
      <c r="C702" s="218"/>
      <c r="D702" s="219">
        <v>1</v>
      </c>
      <c r="E702" s="220"/>
      <c r="F702" s="220"/>
      <c r="G702" s="220"/>
      <c r="H702" s="220"/>
      <c r="I702" s="220">
        <f>D702</f>
        <v>1</v>
      </c>
      <c r="J702" s="280" t="s">
        <v>1168</v>
      </c>
      <c r="K702" s="281"/>
      <c r="L702" s="281"/>
    </row>
    <row r="703" spans="1:12" s="26" customFormat="1" outlineLevel="1">
      <c r="A703" s="221"/>
      <c r="B703" s="259"/>
      <c r="C703" s="223"/>
      <c r="D703" s="224"/>
      <c r="E703" s="225"/>
      <c r="F703" s="225" t="s">
        <v>402</v>
      </c>
      <c r="G703" s="225"/>
      <c r="H703" s="225"/>
      <c r="I703" s="225"/>
      <c r="J703" s="280"/>
      <c r="K703" s="281"/>
      <c r="L703" s="281"/>
    </row>
    <row r="704" spans="1:12" s="26" customFormat="1" ht="31.5" outlineLevel="1">
      <c r="A704" s="210" t="s">
        <v>324</v>
      </c>
      <c r="B704" s="211" t="s">
        <v>537</v>
      </c>
      <c r="C704" s="212" t="s">
        <v>226</v>
      </c>
      <c r="D704" s="213"/>
      <c r="E704" s="214"/>
      <c r="F704" s="214"/>
      <c r="G704" s="214"/>
      <c r="H704" s="214"/>
      <c r="I704" s="215">
        <f>SUM(I705:I709)</f>
        <v>4</v>
      </c>
      <c r="J704" s="280"/>
      <c r="K704" s="281"/>
      <c r="L704" s="281"/>
    </row>
    <row r="705" spans="1:14" s="26" customFormat="1" outlineLevel="1">
      <c r="A705" s="216"/>
      <c r="B705" s="258" t="s">
        <v>413</v>
      </c>
      <c r="C705" s="218"/>
      <c r="D705" s="219"/>
      <c r="E705" s="220"/>
      <c r="F705" s="220"/>
      <c r="G705" s="220"/>
      <c r="H705" s="220"/>
      <c r="I705" s="220"/>
      <c r="J705" s="280" t="s">
        <v>1168</v>
      </c>
      <c r="K705" s="281"/>
      <c r="L705" s="281"/>
    </row>
    <row r="706" spans="1:14" s="26" customFormat="1" outlineLevel="1">
      <c r="A706" s="216"/>
      <c r="B706" s="217" t="s">
        <v>429</v>
      </c>
      <c r="C706" s="218"/>
      <c r="D706" s="219">
        <f>1+1</f>
        <v>2</v>
      </c>
      <c r="E706" s="220"/>
      <c r="F706" s="220"/>
      <c r="G706" s="220"/>
      <c r="H706" s="220"/>
      <c r="I706" s="220">
        <f>D706</f>
        <v>2</v>
      </c>
      <c r="J706" s="280"/>
      <c r="K706" s="281"/>
      <c r="L706" s="281"/>
    </row>
    <row r="707" spans="1:14" outlineLevel="1">
      <c r="A707" s="216"/>
      <c r="B707" s="258" t="s">
        <v>414</v>
      </c>
      <c r="C707" s="218"/>
      <c r="D707" s="219"/>
      <c r="E707" s="220"/>
      <c r="F707" s="220"/>
      <c r="G707" s="220"/>
      <c r="H707" s="220"/>
      <c r="I707" s="220"/>
      <c r="J707" s="280"/>
      <c r="K707" s="281"/>
      <c r="L707" s="281"/>
    </row>
    <row r="708" spans="1:14" outlineLevel="1">
      <c r="A708" s="216"/>
      <c r="B708" s="217" t="s">
        <v>429</v>
      </c>
      <c r="C708" s="218"/>
      <c r="D708" s="219">
        <f>1+1</f>
        <v>2</v>
      </c>
      <c r="E708" s="220"/>
      <c r="F708" s="220"/>
      <c r="G708" s="220"/>
      <c r="H708" s="220"/>
      <c r="I708" s="220">
        <f>D708</f>
        <v>2</v>
      </c>
      <c r="J708" s="280" t="s">
        <v>1168</v>
      </c>
      <c r="K708" s="281"/>
      <c r="L708" s="281"/>
    </row>
    <row r="709" spans="1:14" outlineLevel="1">
      <c r="A709" s="221"/>
      <c r="B709" s="259"/>
      <c r="C709" s="223"/>
      <c r="D709" s="224"/>
      <c r="E709" s="225"/>
      <c r="F709" s="225"/>
      <c r="G709" s="225"/>
      <c r="H709" s="225"/>
      <c r="I709" s="225"/>
      <c r="J709" s="280"/>
      <c r="K709" s="281"/>
      <c r="L709" s="281"/>
    </row>
    <row r="710" spans="1:14" ht="31.5" outlineLevel="1">
      <c r="A710" s="210" t="s">
        <v>325</v>
      </c>
      <c r="B710" s="211" t="s">
        <v>538</v>
      </c>
      <c r="C710" s="212" t="s">
        <v>226</v>
      </c>
      <c r="D710" s="213"/>
      <c r="E710" s="214"/>
      <c r="F710" s="214"/>
      <c r="G710" s="214"/>
      <c r="H710" s="214"/>
      <c r="I710" s="215">
        <f>SUM(I711:I715)</f>
        <v>2</v>
      </c>
      <c r="J710" s="280"/>
      <c r="K710" s="281"/>
      <c r="L710" s="281"/>
      <c r="M710" s="26"/>
      <c r="N710" s="26"/>
    </row>
    <row r="711" spans="1:14" outlineLevel="1">
      <c r="A711" s="216"/>
      <c r="B711" s="258" t="s">
        <v>413</v>
      </c>
      <c r="C711" s="218"/>
      <c r="D711" s="219"/>
      <c r="E711" s="220"/>
      <c r="F711" s="220"/>
      <c r="G711" s="220"/>
      <c r="H711" s="220"/>
      <c r="I711" s="220"/>
      <c r="J711" s="280" t="s">
        <v>1168</v>
      </c>
      <c r="K711" s="281"/>
      <c r="L711" s="281"/>
      <c r="M711" s="26"/>
      <c r="N711" s="26"/>
    </row>
    <row r="712" spans="1:14" outlineLevel="1">
      <c r="A712" s="216"/>
      <c r="B712" s="217" t="s">
        <v>429</v>
      </c>
      <c r="C712" s="218"/>
      <c r="D712" s="219">
        <v>1</v>
      </c>
      <c r="E712" s="220"/>
      <c r="F712" s="220"/>
      <c r="G712" s="220"/>
      <c r="H712" s="220"/>
      <c r="I712" s="220">
        <f>D712</f>
        <v>1</v>
      </c>
      <c r="J712" s="280"/>
      <c r="K712" s="281"/>
      <c r="L712" s="281"/>
      <c r="M712" s="26"/>
      <c r="N712" s="26"/>
    </row>
    <row r="713" spans="1:14" outlineLevel="1">
      <c r="A713" s="216"/>
      <c r="B713" s="258" t="s">
        <v>414</v>
      </c>
      <c r="C713" s="218"/>
      <c r="D713" s="219"/>
      <c r="E713" s="220"/>
      <c r="F713" s="220"/>
      <c r="G713" s="220"/>
      <c r="H713" s="220"/>
      <c r="I713" s="220"/>
      <c r="J713" s="280"/>
      <c r="K713" s="281"/>
      <c r="L713" s="281"/>
      <c r="M713" s="26"/>
      <c r="N713" s="26"/>
    </row>
    <row r="714" spans="1:14" outlineLevel="1">
      <c r="A714" s="216"/>
      <c r="B714" s="217" t="s">
        <v>429</v>
      </c>
      <c r="C714" s="218"/>
      <c r="D714" s="219">
        <v>1</v>
      </c>
      <c r="E714" s="220"/>
      <c r="F714" s="220"/>
      <c r="G714" s="220"/>
      <c r="H714" s="220"/>
      <c r="I714" s="220">
        <f>D714</f>
        <v>1</v>
      </c>
      <c r="J714" s="280" t="s">
        <v>1168</v>
      </c>
      <c r="K714" s="281"/>
      <c r="L714" s="281"/>
      <c r="M714" s="26"/>
      <c r="N714" s="26"/>
    </row>
    <row r="715" spans="1:14" outlineLevel="1">
      <c r="A715" s="221"/>
      <c r="B715" s="259"/>
      <c r="C715" s="223"/>
      <c r="D715" s="224"/>
      <c r="E715" s="225"/>
      <c r="F715" s="225"/>
      <c r="G715" s="225"/>
      <c r="H715" s="225"/>
      <c r="I715" s="225"/>
      <c r="J715" s="280"/>
      <c r="K715" s="281"/>
      <c r="L715" s="281"/>
      <c r="M715" s="26"/>
      <c r="N715" s="26"/>
    </row>
    <row r="716" spans="1:14" ht="31.5" outlineLevel="1">
      <c r="A716" s="210" t="s">
        <v>326</v>
      </c>
      <c r="B716" s="211" t="s">
        <v>539</v>
      </c>
      <c r="C716" s="212" t="s">
        <v>226</v>
      </c>
      <c r="D716" s="213"/>
      <c r="E716" s="214"/>
      <c r="F716" s="214"/>
      <c r="G716" s="214"/>
      <c r="H716" s="214"/>
      <c r="I716" s="215">
        <f>SUM(I717:I722)</f>
        <v>5</v>
      </c>
      <c r="J716" s="280"/>
      <c r="K716" s="281"/>
      <c r="L716" s="281"/>
    </row>
    <row r="717" spans="1:14" s="26" customFormat="1" outlineLevel="1">
      <c r="A717" s="216"/>
      <c r="B717" s="258" t="s">
        <v>413</v>
      </c>
      <c r="C717" s="218"/>
      <c r="D717" s="219"/>
      <c r="E717" s="220"/>
      <c r="F717" s="220"/>
      <c r="G717" s="220"/>
      <c r="H717" s="220"/>
      <c r="I717" s="220"/>
      <c r="J717" s="280" t="s">
        <v>1168</v>
      </c>
      <c r="K717" s="281"/>
      <c r="L717" s="281"/>
    </row>
    <row r="718" spans="1:14" s="26" customFormat="1" outlineLevel="1">
      <c r="A718" s="216"/>
      <c r="B718" s="217" t="s">
        <v>429</v>
      </c>
      <c r="C718" s="218"/>
      <c r="D718" s="219">
        <f>1+1</f>
        <v>2</v>
      </c>
      <c r="E718" s="220"/>
      <c r="F718" s="220"/>
      <c r="G718" s="220"/>
      <c r="H718" s="220"/>
      <c r="I718" s="220">
        <f>D718</f>
        <v>2</v>
      </c>
      <c r="J718" s="280"/>
      <c r="K718" s="281"/>
      <c r="L718" s="281"/>
    </row>
    <row r="719" spans="1:14" s="26" customFormat="1" outlineLevel="1">
      <c r="A719" s="216"/>
      <c r="B719" s="217" t="s">
        <v>420</v>
      </c>
      <c r="C719" s="218"/>
      <c r="D719" s="219">
        <v>1</v>
      </c>
      <c r="E719" s="220"/>
      <c r="F719" s="220"/>
      <c r="G719" s="220"/>
      <c r="H719" s="220"/>
      <c r="I719" s="220">
        <f>D719</f>
        <v>1</v>
      </c>
      <c r="J719" s="280"/>
      <c r="K719" s="281"/>
      <c r="L719" s="281"/>
    </row>
    <row r="720" spans="1:14" s="26" customFormat="1" outlineLevel="1">
      <c r="A720" s="216"/>
      <c r="B720" s="258" t="s">
        <v>414</v>
      </c>
      <c r="C720" s="218"/>
      <c r="D720" s="219"/>
      <c r="E720" s="220"/>
      <c r="F720" s="220"/>
      <c r="G720" s="220"/>
      <c r="H720" s="220"/>
      <c r="I720" s="220"/>
      <c r="J720" s="280" t="s">
        <v>1168</v>
      </c>
      <c r="K720" s="281"/>
      <c r="L720" s="281"/>
    </row>
    <row r="721" spans="1:12" outlineLevel="1">
      <c r="A721" s="216"/>
      <c r="B721" s="217" t="s">
        <v>429</v>
      </c>
      <c r="C721" s="218"/>
      <c r="D721" s="219">
        <f>1+1</f>
        <v>2</v>
      </c>
      <c r="E721" s="220"/>
      <c r="F721" s="220"/>
      <c r="G721" s="220"/>
      <c r="H721" s="220"/>
      <c r="I721" s="220">
        <f>D721</f>
        <v>2</v>
      </c>
      <c r="J721" s="280"/>
      <c r="K721" s="281"/>
      <c r="L721" s="281"/>
    </row>
    <row r="722" spans="1:12" outlineLevel="1">
      <c r="A722" s="221"/>
      <c r="B722" s="259"/>
      <c r="C722" s="223"/>
      <c r="D722" s="224"/>
      <c r="E722" s="225"/>
      <c r="F722" s="225"/>
      <c r="G722" s="225"/>
      <c r="H722" s="225"/>
      <c r="I722" s="225"/>
      <c r="J722" s="280"/>
      <c r="K722" s="281"/>
      <c r="L722" s="281"/>
    </row>
    <row r="723" spans="1:12">
      <c r="A723" s="227" t="s">
        <v>60</v>
      </c>
      <c r="B723" s="228" t="s">
        <v>22</v>
      </c>
      <c r="C723" s="229"/>
      <c r="D723" s="230"/>
      <c r="E723" s="231"/>
      <c r="F723" s="231"/>
      <c r="G723" s="231"/>
      <c r="H723" s="231"/>
      <c r="I723" s="232"/>
      <c r="J723" s="280" t="s">
        <v>1168</v>
      </c>
      <c r="K723" s="281"/>
      <c r="L723" s="281"/>
    </row>
    <row r="724" spans="1:12" s="26" customFormat="1" outlineLevel="1">
      <c r="A724" s="188" t="s">
        <v>66</v>
      </c>
      <c r="B724" s="189" t="s">
        <v>540</v>
      </c>
      <c r="C724" s="233"/>
      <c r="D724" s="234"/>
      <c r="E724" s="235"/>
      <c r="F724" s="235"/>
      <c r="G724" s="235"/>
      <c r="H724" s="235"/>
      <c r="I724" s="236"/>
      <c r="J724" s="280"/>
      <c r="K724" s="281"/>
      <c r="L724" s="281"/>
    </row>
    <row r="725" spans="1:12" s="26" customFormat="1" ht="63" outlineLevel="1">
      <c r="A725" s="210" t="s">
        <v>204</v>
      </c>
      <c r="B725" s="211" t="s">
        <v>332</v>
      </c>
      <c r="C725" s="212" t="s">
        <v>226</v>
      </c>
      <c r="D725" s="213"/>
      <c r="E725" s="214"/>
      <c r="F725" s="214"/>
      <c r="G725" s="214"/>
      <c r="H725" s="214"/>
      <c r="I725" s="215">
        <f>SUM(I726:I732)</f>
        <v>4</v>
      </c>
      <c r="J725" s="280"/>
      <c r="K725" s="281"/>
      <c r="L725" s="281"/>
    </row>
    <row r="726" spans="1:12" s="26" customFormat="1" outlineLevel="1">
      <c r="A726" s="216"/>
      <c r="B726" s="258" t="s">
        <v>413</v>
      </c>
      <c r="C726" s="218"/>
      <c r="D726" s="219"/>
      <c r="E726" s="220"/>
      <c r="F726" s="220"/>
      <c r="G726" s="220"/>
      <c r="H726" s="220"/>
      <c r="I726" s="220"/>
      <c r="J726" s="280" t="s">
        <v>1168</v>
      </c>
      <c r="K726" s="281"/>
      <c r="L726" s="281"/>
    </row>
    <row r="727" spans="1:12" s="26" customFormat="1" outlineLevel="1">
      <c r="A727" s="216"/>
      <c r="B727" s="217" t="s">
        <v>425</v>
      </c>
      <c r="C727" s="218"/>
      <c r="D727" s="219">
        <v>1</v>
      </c>
      <c r="E727" s="220"/>
      <c r="F727" s="220"/>
      <c r="G727" s="220"/>
      <c r="H727" s="220"/>
      <c r="I727" s="220">
        <f>D727</f>
        <v>1</v>
      </c>
      <c r="J727" s="280"/>
      <c r="K727" s="281"/>
      <c r="L727" s="281"/>
    </row>
    <row r="728" spans="1:12" s="26" customFormat="1" outlineLevel="1">
      <c r="A728" s="216"/>
      <c r="B728" s="217" t="s">
        <v>429</v>
      </c>
      <c r="C728" s="218"/>
      <c r="D728" s="219">
        <v>1</v>
      </c>
      <c r="E728" s="220"/>
      <c r="F728" s="220"/>
      <c r="G728" s="220"/>
      <c r="H728" s="220"/>
      <c r="I728" s="220">
        <f>D728</f>
        <v>1</v>
      </c>
      <c r="J728" s="280"/>
      <c r="K728" s="281"/>
      <c r="L728" s="281"/>
    </row>
    <row r="729" spans="1:12" s="26" customFormat="1" outlineLevel="1">
      <c r="A729" s="216"/>
      <c r="B729" s="258" t="s">
        <v>414</v>
      </c>
      <c r="C729" s="218"/>
      <c r="D729" s="219"/>
      <c r="E729" s="220"/>
      <c r="F729" s="220"/>
      <c r="G729" s="220"/>
      <c r="H729" s="220"/>
      <c r="I729" s="220"/>
      <c r="J729" s="280" t="s">
        <v>1168</v>
      </c>
      <c r="K729" s="281"/>
      <c r="L729" s="281"/>
    </row>
    <row r="730" spans="1:12" s="26" customFormat="1" outlineLevel="1">
      <c r="A730" s="216"/>
      <c r="B730" s="217" t="s">
        <v>425</v>
      </c>
      <c r="C730" s="218"/>
      <c r="D730" s="219">
        <v>1</v>
      </c>
      <c r="E730" s="220"/>
      <c r="F730" s="220"/>
      <c r="G730" s="220"/>
      <c r="H730" s="220"/>
      <c r="I730" s="220">
        <f>D730</f>
        <v>1</v>
      </c>
      <c r="J730" s="280"/>
      <c r="K730" s="281"/>
      <c r="L730" s="281"/>
    </row>
    <row r="731" spans="1:12" s="26" customFormat="1" outlineLevel="1">
      <c r="A731" s="216"/>
      <c r="B731" s="217" t="s">
        <v>429</v>
      </c>
      <c r="C731" s="218"/>
      <c r="D731" s="219">
        <v>1</v>
      </c>
      <c r="E731" s="220"/>
      <c r="F731" s="220"/>
      <c r="G731" s="220"/>
      <c r="H731" s="220"/>
      <c r="I731" s="220">
        <f>D731</f>
        <v>1</v>
      </c>
      <c r="J731" s="280"/>
      <c r="K731" s="281"/>
      <c r="L731" s="281"/>
    </row>
    <row r="732" spans="1:12" s="26" customFormat="1" outlineLevel="1">
      <c r="A732" s="221"/>
      <c r="B732" s="259"/>
      <c r="C732" s="223"/>
      <c r="D732" s="224"/>
      <c r="E732" s="225"/>
      <c r="F732" s="225"/>
      <c r="G732" s="225"/>
      <c r="H732" s="225"/>
      <c r="I732" s="225"/>
      <c r="J732" s="280" t="s">
        <v>1168</v>
      </c>
      <c r="K732" s="281"/>
      <c r="L732" s="281"/>
    </row>
    <row r="733" spans="1:12" s="26" customFormat="1" ht="56.25" customHeight="1" outlineLevel="1">
      <c r="A733" s="210" t="s">
        <v>286</v>
      </c>
      <c r="B733" s="211" t="s">
        <v>334</v>
      </c>
      <c r="C733" s="212" t="s">
        <v>226</v>
      </c>
      <c r="D733" s="213"/>
      <c r="E733" s="214"/>
      <c r="F733" s="214"/>
      <c r="G733" s="214"/>
      <c r="H733" s="214"/>
      <c r="I733" s="215">
        <f>SUM(I734:I740)</f>
        <v>4</v>
      </c>
      <c r="J733" s="280"/>
      <c r="K733" s="281"/>
      <c r="L733" s="281"/>
    </row>
    <row r="734" spans="1:12" s="26" customFormat="1" outlineLevel="1">
      <c r="A734" s="216"/>
      <c r="B734" s="258" t="s">
        <v>413</v>
      </c>
      <c r="C734" s="218"/>
      <c r="D734" s="219"/>
      <c r="E734" s="220"/>
      <c r="F734" s="220"/>
      <c r="G734" s="220"/>
      <c r="H734" s="220"/>
      <c r="I734" s="220"/>
      <c r="J734" s="280"/>
      <c r="K734" s="281"/>
      <c r="L734" s="281"/>
    </row>
    <row r="735" spans="1:12" s="26" customFormat="1" outlineLevel="1">
      <c r="A735" s="216"/>
      <c r="B735" s="217" t="s">
        <v>425</v>
      </c>
      <c r="C735" s="218"/>
      <c r="D735" s="219">
        <v>1</v>
      </c>
      <c r="E735" s="220"/>
      <c r="F735" s="220"/>
      <c r="G735" s="220"/>
      <c r="H735" s="220"/>
      <c r="I735" s="220">
        <f>D735</f>
        <v>1</v>
      </c>
      <c r="J735" s="280" t="s">
        <v>1168</v>
      </c>
      <c r="K735" s="281"/>
      <c r="L735" s="281"/>
    </row>
    <row r="736" spans="1:12" s="26" customFormat="1" outlineLevel="1">
      <c r="A736" s="216"/>
      <c r="B736" s="217" t="s">
        <v>429</v>
      </c>
      <c r="C736" s="218"/>
      <c r="D736" s="219">
        <v>1</v>
      </c>
      <c r="E736" s="220"/>
      <c r="F736" s="220"/>
      <c r="G736" s="220"/>
      <c r="H736" s="220"/>
      <c r="I736" s="220">
        <f>D736</f>
        <v>1</v>
      </c>
      <c r="J736" s="280"/>
      <c r="K736" s="281"/>
      <c r="L736" s="281"/>
    </row>
    <row r="737" spans="1:12" s="26" customFormat="1" outlineLevel="1">
      <c r="A737" s="216"/>
      <c r="B737" s="258" t="s">
        <v>414</v>
      </c>
      <c r="C737" s="218"/>
      <c r="D737" s="219"/>
      <c r="E737" s="220"/>
      <c r="F737" s="220"/>
      <c r="G737" s="220"/>
      <c r="H737" s="220"/>
      <c r="I737" s="220"/>
      <c r="J737" s="280"/>
      <c r="K737" s="281"/>
      <c r="L737" s="281"/>
    </row>
    <row r="738" spans="1:12" s="26" customFormat="1" outlineLevel="1">
      <c r="A738" s="216"/>
      <c r="B738" s="217" t="s">
        <v>425</v>
      </c>
      <c r="C738" s="218"/>
      <c r="D738" s="219">
        <v>1</v>
      </c>
      <c r="E738" s="220"/>
      <c r="F738" s="220"/>
      <c r="G738" s="220"/>
      <c r="H738" s="220"/>
      <c r="I738" s="220">
        <f>D738</f>
        <v>1</v>
      </c>
      <c r="J738" s="280" t="s">
        <v>1168</v>
      </c>
      <c r="K738" s="281"/>
      <c r="L738" s="281"/>
    </row>
    <row r="739" spans="1:12" s="26" customFormat="1" outlineLevel="1">
      <c r="A739" s="216"/>
      <c r="B739" s="217" t="s">
        <v>429</v>
      </c>
      <c r="C739" s="218"/>
      <c r="D739" s="219">
        <v>1</v>
      </c>
      <c r="E739" s="220"/>
      <c r="F739" s="220"/>
      <c r="G739" s="220"/>
      <c r="H739" s="220"/>
      <c r="I739" s="220">
        <f>D739</f>
        <v>1</v>
      </c>
      <c r="J739" s="280"/>
      <c r="K739" s="281"/>
      <c r="L739" s="281"/>
    </row>
    <row r="740" spans="1:12" s="26" customFormat="1" outlineLevel="1">
      <c r="A740" s="221"/>
      <c r="B740" s="259"/>
      <c r="C740" s="223"/>
      <c r="D740" s="224"/>
      <c r="E740" s="225"/>
      <c r="F740" s="225"/>
      <c r="G740" s="225"/>
      <c r="H740" s="225"/>
      <c r="I740" s="225"/>
      <c r="J740" s="280"/>
      <c r="K740" s="281"/>
      <c r="L740" s="281"/>
    </row>
    <row r="741" spans="1:12" s="26" customFormat="1" ht="47.25" outlineLevel="1">
      <c r="A741" s="210" t="s">
        <v>287</v>
      </c>
      <c r="B741" s="211" t="s">
        <v>335</v>
      </c>
      <c r="C741" s="212" t="s">
        <v>226</v>
      </c>
      <c r="D741" s="213"/>
      <c r="E741" s="214"/>
      <c r="F741" s="214"/>
      <c r="G741" s="214"/>
      <c r="H741" s="214"/>
      <c r="I741" s="215">
        <f>SUM(I742:I750)</f>
        <v>6</v>
      </c>
      <c r="J741" s="280" t="s">
        <v>1168</v>
      </c>
      <c r="K741" s="281"/>
      <c r="L741" s="281"/>
    </row>
    <row r="742" spans="1:12" s="26" customFormat="1" outlineLevel="1">
      <c r="A742" s="216"/>
      <c r="B742" s="258" t="s">
        <v>413</v>
      </c>
      <c r="C742" s="218"/>
      <c r="D742" s="219"/>
      <c r="E742" s="220"/>
      <c r="F742" s="220"/>
      <c r="G742" s="220"/>
      <c r="H742" s="220"/>
      <c r="I742" s="220"/>
      <c r="J742" s="280"/>
      <c r="K742" s="281"/>
      <c r="L742" s="281"/>
    </row>
    <row r="743" spans="1:12" s="26" customFormat="1" outlineLevel="1">
      <c r="A743" s="216"/>
      <c r="B743" s="217" t="s">
        <v>423</v>
      </c>
      <c r="C743" s="218"/>
      <c r="D743" s="219">
        <v>1</v>
      </c>
      <c r="E743" s="220"/>
      <c r="F743" s="220"/>
      <c r="G743" s="220"/>
      <c r="H743" s="220"/>
      <c r="I743" s="220">
        <f>D743</f>
        <v>1</v>
      </c>
      <c r="J743" s="280"/>
      <c r="K743" s="281"/>
      <c r="L743" s="281"/>
    </row>
    <row r="744" spans="1:12" s="26" customFormat="1" outlineLevel="1">
      <c r="A744" s="216"/>
      <c r="B744" s="217" t="s">
        <v>424</v>
      </c>
      <c r="C744" s="218"/>
      <c r="D744" s="219">
        <v>1</v>
      </c>
      <c r="E744" s="220"/>
      <c r="F744" s="220"/>
      <c r="G744" s="220"/>
      <c r="H744" s="220"/>
      <c r="I744" s="220">
        <f>D744</f>
        <v>1</v>
      </c>
      <c r="J744" s="280" t="s">
        <v>1168</v>
      </c>
      <c r="K744" s="281"/>
      <c r="L744" s="281"/>
    </row>
    <row r="745" spans="1:12" s="26" customFormat="1" outlineLevel="1">
      <c r="A745" s="216"/>
      <c r="B745" s="217" t="s">
        <v>429</v>
      </c>
      <c r="C745" s="218"/>
      <c r="D745" s="219">
        <v>1</v>
      </c>
      <c r="E745" s="220"/>
      <c r="F745" s="220"/>
      <c r="G745" s="220"/>
      <c r="H745" s="220"/>
      <c r="I745" s="220">
        <f>D745</f>
        <v>1</v>
      </c>
      <c r="J745" s="280"/>
      <c r="K745" s="281"/>
      <c r="L745" s="281"/>
    </row>
    <row r="746" spans="1:12" s="26" customFormat="1" outlineLevel="1">
      <c r="A746" s="216"/>
      <c r="B746" s="258" t="s">
        <v>414</v>
      </c>
      <c r="C746" s="218"/>
      <c r="D746" s="219"/>
      <c r="E746" s="220"/>
      <c r="F746" s="220"/>
      <c r="G746" s="220"/>
      <c r="H746" s="220"/>
      <c r="I746" s="220"/>
      <c r="J746" s="280"/>
      <c r="K746" s="281"/>
      <c r="L746" s="281"/>
    </row>
    <row r="747" spans="1:12" s="26" customFormat="1" outlineLevel="1">
      <c r="A747" s="216"/>
      <c r="B747" s="217" t="s">
        <v>423</v>
      </c>
      <c r="C747" s="218"/>
      <c r="D747" s="219">
        <v>1</v>
      </c>
      <c r="E747" s="220"/>
      <c r="F747" s="220"/>
      <c r="G747" s="220"/>
      <c r="H747" s="220"/>
      <c r="I747" s="220">
        <f>D747</f>
        <v>1</v>
      </c>
      <c r="J747" s="280" t="s">
        <v>1168</v>
      </c>
      <c r="K747" s="281"/>
      <c r="L747" s="281"/>
    </row>
    <row r="748" spans="1:12" s="26" customFormat="1" ht="15.75" customHeight="1" outlineLevel="1">
      <c r="A748" s="216"/>
      <c r="B748" s="217" t="s">
        <v>424</v>
      </c>
      <c r="C748" s="218"/>
      <c r="D748" s="219">
        <v>1</v>
      </c>
      <c r="E748" s="220"/>
      <c r="F748" s="220"/>
      <c r="G748" s="220"/>
      <c r="H748" s="220"/>
      <c r="I748" s="220">
        <f>D748</f>
        <v>1</v>
      </c>
      <c r="J748" s="280"/>
      <c r="K748" s="281"/>
      <c r="L748" s="281"/>
    </row>
    <row r="749" spans="1:12" s="26" customFormat="1" outlineLevel="1">
      <c r="A749" s="216"/>
      <c r="B749" s="217" t="s">
        <v>429</v>
      </c>
      <c r="C749" s="218"/>
      <c r="D749" s="219">
        <v>1</v>
      </c>
      <c r="E749" s="220"/>
      <c r="F749" s="220"/>
      <c r="G749" s="220"/>
      <c r="H749" s="220"/>
      <c r="I749" s="220">
        <f>D749</f>
        <v>1</v>
      </c>
      <c r="J749" s="280"/>
      <c r="K749" s="281"/>
      <c r="L749" s="281"/>
    </row>
    <row r="750" spans="1:12" s="26" customFormat="1" outlineLevel="1">
      <c r="A750" s="221"/>
      <c r="B750" s="259"/>
      <c r="C750" s="223"/>
      <c r="D750" s="224"/>
      <c r="E750" s="225"/>
      <c r="F750" s="225"/>
      <c r="G750" s="225"/>
      <c r="H750" s="225"/>
      <c r="I750" s="225"/>
      <c r="J750" s="280" t="s">
        <v>1168</v>
      </c>
      <c r="K750" s="281"/>
      <c r="L750" s="281"/>
    </row>
    <row r="751" spans="1:12" s="26" customFormat="1" ht="15.75" customHeight="1" outlineLevel="1">
      <c r="A751" s="188" t="s">
        <v>67</v>
      </c>
      <c r="B751" s="189" t="s">
        <v>540</v>
      </c>
      <c r="C751" s="233"/>
      <c r="D751" s="234"/>
      <c r="E751" s="235"/>
      <c r="F751" s="235"/>
      <c r="G751" s="235"/>
      <c r="H751" s="235"/>
      <c r="I751" s="236"/>
      <c r="J751" s="280"/>
      <c r="K751" s="281"/>
      <c r="L751" s="281"/>
    </row>
    <row r="752" spans="1:12" ht="31.5" outlineLevel="1">
      <c r="A752" s="210" t="s">
        <v>205</v>
      </c>
      <c r="B752" s="211" t="s">
        <v>541</v>
      </c>
      <c r="C752" s="212" t="s">
        <v>226</v>
      </c>
      <c r="D752" s="213"/>
      <c r="E752" s="214"/>
      <c r="F752" s="214"/>
      <c r="G752" s="214"/>
      <c r="H752" s="214"/>
      <c r="I752" s="215">
        <f>SUM(I753:I759)</f>
        <v>4</v>
      </c>
      <c r="J752" s="280"/>
      <c r="K752" s="281"/>
      <c r="L752" s="281"/>
    </row>
    <row r="753" spans="1:12" s="26" customFormat="1" outlineLevel="1">
      <c r="A753" s="216"/>
      <c r="B753" s="258" t="s">
        <v>413</v>
      </c>
      <c r="C753" s="218"/>
      <c r="D753" s="219"/>
      <c r="E753" s="220"/>
      <c r="F753" s="220"/>
      <c r="G753" s="220"/>
      <c r="H753" s="220"/>
      <c r="I753" s="220"/>
      <c r="J753" s="280" t="s">
        <v>1168</v>
      </c>
      <c r="K753" s="281"/>
      <c r="L753" s="281"/>
    </row>
    <row r="754" spans="1:12" s="26" customFormat="1" ht="15.75" customHeight="1" outlineLevel="1">
      <c r="A754" s="216"/>
      <c r="B754" s="217" t="s">
        <v>425</v>
      </c>
      <c r="C754" s="218"/>
      <c r="D754" s="219">
        <v>1</v>
      </c>
      <c r="E754" s="220"/>
      <c r="F754" s="220"/>
      <c r="G754" s="220"/>
      <c r="H754" s="220"/>
      <c r="I754" s="220">
        <f>D754</f>
        <v>1</v>
      </c>
      <c r="J754" s="280"/>
      <c r="K754" s="281"/>
      <c r="L754" s="281"/>
    </row>
    <row r="755" spans="1:12" s="26" customFormat="1" outlineLevel="1">
      <c r="A755" s="216"/>
      <c r="B755" s="217" t="s">
        <v>429</v>
      </c>
      <c r="C755" s="218"/>
      <c r="D755" s="219">
        <v>1</v>
      </c>
      <c r="E755" s="220"/>
      <c r="F755" s="220"/>
      <c r="G755" s="220"/>
      <c r="H755" s="220"/>
      <c r="I755" s="220">
        <f>D755</f>
        <v>1</v>
      </c>
      <c r="J755" s="280"/>
      <c r="K755" s="281"/>
      <c r="L755" s="281"/>
    </row>
    <row r="756" spans="1:12" s="26" customFormat="1" outlineLevel="1">
      <c r="A756" s="216"/>
      <c r="B756" s="258" t="s">
        <v>414</v>
      </c>
      <c r="C756" s="218"/>
      <c r="D756" s="219"/>
      <c r="E756" s="220"/>
      <c r="F756" s="220"/>
      <c r="G756" s="220"/>
      <c r="H756" s="220"/>
      <c r="I756" s="220"/>
      <c r="J756" s="280" t="s">
        <v>1168</v>
      </c>
      <c r="K756" s="281"/>
      <c r="L756" s="281"/>
    </row>
    <row r="757" spans="1:12" s="26" customFormat="1" ht="15.75" customHeight="1" outlineLevel="1">
      <c r="A757" s="216"/>
      <c r="B757" s="217" t="s">
        <v>425</v>
      </c>
      <c r="C757" s="218"/>
      <c r="D757" s="219">
        <v>1</v>
      </c>
      <c r="E757" s="220"/>
      <c r="F757" s="220"/>
      <c r="G757" s="220"/>
      <c r="H757" s="220"/>
      <c r="I757" s="220">
        <f>D757</f>
        <v>1</v>
      </c>
      <c r="J757" s="280"/>
      <c r="K757" s="281"/>
      <c r="L757" s="281"/>
    </row>
    <row r="758" spans="1:12" s="26" customFormat="1" outlineLevel="1">
      <c r="A758" s="216"/>
      <c r="B758" s="217" t="s">
        <v>429</v>
      </c>
      <c r="C758" s="218"/>
      <c r="D758" s="219">
        <v>1</v>
      </c>
      <c r="E758" s="220"/>
      <c r="F758" s="220"/>
      <c r="G758" s="220"/>
      <c r="H758" s="220"/>
      <c r="I758" s="220">
        <f>D758</f>
        <v>1</v>
      </c>
      <c r="J758" s="280"/>
      <c r="K758" s="281"/>
      <c r="L758" s="281"/>
    </row>
    <row r="759" spans="1:12" s="26" customFormat="1" outlineLevel="1">
      <c r="A759" s="221"/>
      <c r="B759" s="259"/>
      <c r="C759" s="223"/>
      <c r="D759" s="224"/>
      <c r="E759" s="225"/>
      <c r="F759" s="225"/>
      <c r="G759" s="225"/>
      <c r="H759" s="225"/>
      <c r="I759" s="225"/>
      <c r="J759" s="280" t="s">
        <v>1168</v>
      </c>
      <c r="K759" s="281"/>
      <c r="L759" s="281"/>
    </row>
    <row r="760" spans="1:12" s="26" customFormat="1" ht="15.75" customHeight="1" outlineLevel="1">
      <c r="A760" s="210" t="s">
        <v>206</v>
      </c>
      <c r="B760" s="211" t="s">
        <v>338</v>
      </c>
      <c r="C760" s="212" t="s">
        <v>226</v>
      </c>
      <c r="D760" s="213"/>
      <c r="E760" s="214"/>
      <c r="F760" s="214"/>
      <c r="G760" s="214"/>
      <c r="H760" s="214"/>
      <c r="I760" s="215">
        <f>SUM(I761:I767)</f>
        <v>4</v>
      </c>
      <c r="J760" s="280"/>
      <c r="K760" s="281"/>
      <c r="L760" s="281"/>
    </row>
    <row r="761" spans="1:12" s="26" customFormat="1" outlineLevel="1">
      <c r="A761" s="216"/>
      <c r="B761" s="258" t="s">
        <v>413</v>
      </c>
      <c r="C761" s="218"/>
      <c r="D761" s="219"/>
      <c r="E761" s="220"/>
      <c r="F761" s="220"/>
      <c r="G761" s="220"/>
      <c r="H761" s="220"/>
      <c r="I761" s="220"/>
      <c r="J761" s="280"/>
      <c r="K761" s="281"/>
      <c r="L761" s="281"/>
    </row>
    <row r="762" spans="1:12" s="26" customFormat="1" outlineLevel="1">
      <c r="A762" s="216"/>
      <c r="B762" s="217" t="s">
        <v>425</v>
      </c>
      <c r="C762" s="218"/>
      <c r="D762" s="219">
        <v>1</v>
      </c>
      <c r="E762" s="220"/>
      <c r="F762" s="220"/>
      <c r="G762" s="220"/>
      <c r="H762" s="220"/>
      <c r="I762" s="220">
        <f>D762</f>
        <v>1</v>
      </c>
      <c r="J762" s="280" t="s">
        <v>1168</v>
      </c>
      <c r="K762" s="281"/>
      <c r="L762" s="281"/>
    </row>
    <row r="763" spans="1:12" s="26" customFormat="1" ht="15.75" customHeight="1" outlineLevel="1">
      <c r="A763" s="216"/>
      <c r="B763" s="217" t="s">
        <v>429</v>
      </c>
      <c r="C763" s="218"/>
      <c r="D763" s="219">
        <v>1</v>
      </c>
      <c r="E763" s="220"/>
      <c r="F763" s="220"/>
      <c r="G763" s="220"/>
      <c r="H763" s="220"/>
      <c r="I763" s="220">
        <f>D763</f>
        <v>1</v>
      </c>
      <c r="J763" s="280"/>
      <c r="K763" s="281"/>
      <c r="L763" s="281"/>
    </row>
    <row r="764" spans="1:12" s="26" customFormat="1" outlineLevel="1">
      <c r="A764" s="216"/>
      <c r="B764" s="258" t="s">
        <v>414</v>
      </c>
      <c r="C764" s="218"/>
      <c r="D764" s="219"/>
      <c r="E764" s="220"/>
      <c r="F764" s="220"/>
      <c r="G764" s="220"/>
      <c r="H764" s="220"/>
      <c r="I764" s="220"/>
      <c r="J764" s="280"/>
      <c r="K764" s="281"/>
      <c r="L764" s="281"/>
    </row>
    <row r="765" spans="1:12" s="26" customFormat="1" outlineLevel="1">
      <c r="A765" s="216"/>
      <c r="B765" s="217" t="s">
        <v>425</v>
      </c>
      <c r="C765" s="218"/>
      <c r="D765" s="219">
        <v>1</v>
      </c>
      <c r="E765" s="220"/>
      <c r="F765" s="220"/>
      <c r="G765" s="220"/>
      <c r="H765" s="220"/>
      <c r="I765" s="220">
        <f>D765</f>
        <v>1</v>
      </c>
      <c r="J765" s="280" t="s">
        <v>1168</v>
      </c>
      <c r="K765" s="281"/>
      <c r="L765" s="281"/>
    </row>
    <row r="766" spans="1:12" s="26" customFormat="1" ht="15.75" customHeight="1" outlineLevel="1">
      <c r="A766" s="216"/>
      <c r="B766" s="217" t="s">
        <v>429</v>
      </c>
      <c r="C766" s="218"/>
      <c r="D766" s="219">
        <v>1</v>
      </c>
      <c r="E766" s="220"/>
      <c r="F766" s="220"/>
      <c r="G766" s="220"/>
      <c r="H766" s="220"/>
      <c r="I766" s="220">
        <f>D766</f>
        <v>1</v>
      </c>
      <c r="J766" s="280"/>
      <c r="K766" s="281"/>
      <c r="L766" s="281"/>
    </row>
    <row r="767" spans="1:12" s="26" customFormat="1" outlineLevel="1">
      <c r="A767" s="221"/>
      <c r="B767" s="259"/>
      <c r="C767" s="223"/>
      <c r="D767" s="224"/>
      <c r="E767" s="225"/>
      <c r="F767" s="225"/>
      <c r="G767" s="225"/>
      <c r="H767" s="225"/>
      <c r="I767" s="225"/>
      <c r="J767" s="280"/>
      <c r="K767" s="281"/>
      <c r="L767" s="281"/>
    </row>
    <row r="768" spans="1:12" s="26" customFormat="1" ht="31.5" outlineLevel="1">
      <c r="A768" s="210" t="s">
        <v>207</v>
      </c>
      <c r="B768" s="211" t="s">
        <v>337</v>
      </c>
      <c r="C768" s="212" t="s">
        <v>226</v>
      </c>
      <c r="D768" s="213"/>
      <c r="E768" s="214"/>
      <c r="F768" s="214"/>
      <c r="G768" s="214"/>
      <c r="H768" s="214"/>
      <c r="I768" s="215">
        <f>SUM(I769:I771)</f>
        <v>1</v>
      </c>
      <c r="J768" s="280" t="s">
        <v>1168</v>
      </c>
      <c r="K768" s="281"/>
      <c r="L768" s="281"/>
    </row>
    <row r="769" spans="1:12" s="26" customFormat="1" ht="15.75" customHeight="1" outlineLevel="1">
      <c r="A769" s="216"/>
      <c r="B769" s="258" t="s">
        <v>413</v>
      </c>
      <c r="C769" s="218"/>
      <c r="D769" s="219"/>
      <c r="E769" s="220"/>
      <c r="F769" s="220"/>
      <c r="G769" s="220"/>
      <c r="H769" s="220"/>
      <c r="I769" s="220"/>
      <c r="J769" s="280"/>
      <c r="K769" s="281"/>
      <c r="L769" s="281"/>
    </row>
    <row r="770" spans="1:12" s="26" customFormat="1" outlineLevel="1">
      <c r="A770" s="216"/>
      <c r="B770" s="217" t="s">
        <v>163</v>
      </c>
      <c r="C770" s="218"/>
      <c r="D770" s="219">
        <v>1</v>
      </c>
      <c r="E770" s="220"/>
      <c r="F770" s="220"/>
      <c r="G770" s="220"/>
      <c r="H770" s="220"/>
      <c r="I770" s="220">
        <f>D770</f>
        <v>1</v>
      </c>
      <c r="J770" s="280"/>
      <c r="K770" s="281"/>
      <c r="L770" s="281"/>
    </row>
    <row r="771" spans="1:12" s="26" customFormat="1" outlineLevel="1">
      <c r="A771" s="221"/>
      <c r="B771" s="259"/>
      <c r="C771" s="223"/>
      <c r="D771" s="224"/>
      <c r="E771" s="225"/>
      <c r="F771" s="225"/>
      <c r="G771" s="225"/>
      <c r="H771" s="225"/>
      <c r="I771" s="225"/>
      <c r="J771" s="280" t="s">
        <v>1168</v>
      </c>
      <c r="K771" s="281"/>
      <c r="L771" s="281"/>
    </row>
    <row r="772" spans="1:12" ht="15.75" customHeight="1">
      <c r="A772" s="227" t="s">
        <v>61</v>
      </c>
      <c r="B772" s="228" t="s">
        <v>15</v>
      </c>
      <c r="C772" s="229"/>
      <c r="D772" s="230"/>
      <c r="E772" s="231"/>
      <c r="F772" s="231"/>
      <c r="G772" s="231"/>
      <c r="H772" s="231"/>
      <c r="I772" s="232"/>
      <c r="J772" s="280"/>
      <c r="K772" s="281"/>
      <c r="L772" s="281"/>
    </row>
    <row r="773" spans="1:12" outlineLevel="1">
      <c r="A773" s="188" t="s">
        <v>62</v>
      </c>
      <c r="B773" s="189" t="s">
        <v>521</v>
      </c>
      <c r="C773" s="233"/>
      <c r="D773" s="234"/>
      <c r="E773" s="235"/>
      <c r="F773" s="235"/>
      <c r="G773" s="235"/>
      <c r="H773" s="235"/>
      <c r="I773" s="236"/>
      <c r="J773" s="280"/>
      <c r="K773" s="281"/>
      <c r="L773" s="281"/>
    </row>
    <row r="774" spans="1:12" s="26" customFormat="1" outlineLevel="1">
      <c r="A774" s="210" t="s">
        <v>63</v>
      </c>
      <c r="B774" s="239" t="s">
        <v>157</v>
      </c>
      <c r="C774" s="243" t="s">
        <v>7</v>
      </c>
      <c r="D774" s="213"/>
      <c r="E774" s="214"/>
      <c r="F774" s="214"/>
      <c r="G774" s="214"/>
      <c r="H774" s="214"/>
      <c r="I774" s="215">
        <f>SUM(I775:I776)</f>
        <v>1</v>
      </c>
      <c r="J774" s="280" t="s">
        <v>1168</v>
      </c>
      <c r="K774" s="281"/>
      <c r="L774" s="281"/>
    </row>
    <row r="775" spans="1:12" s="26" customFormat="1" ht="31.5" customHeight="1" outlineLevel="1">
      <c r="A775" s="240"/>
      <c r="B775" s="268" t="s">
        <v>891</v>
      </c>
      <c r="C775" s="245" t="s">
        <v>7</v>
      </c>
      <c r="D775" s="219">
        <v>1</v>
      </c>
      <c r="E775" s="220"/>
      <c r="F775" s="220"/>
      <c r="G775" s="220"/>
      <c r="H775" s="220"/>
      <c r="I775" s="220">
        <f>D775</f>
        <v>1</v>
      </c>
      <c r="J775" s="280"/>
      <c r="K775" s="281"/>
      <c r="L775" s="281"/>
    </row>
    <row r="776" spans="1:12" s="26" customFormat="1" outlineLevel="1">
      <c r="A776" s="240"/>
      <c r="B776" s="268"/>
      <c r="C776" s="245"/>
      <c r="D776" s="219"/>
      <c r="E776" s="220"/>
      <c r="F776" s="220"/>
      <c r="G776" s="220"/>
      <c r="H776" s="220"/>
      <c r="I776" s="220"/>
      <c r="J776" s="280"/>
      <c r="K776" s="281"/>
      <c r="L776" s="281"/>
    </row>
    <row r="777" spans="1:12" s="26" customFormat="1" outlineLevel="1">
      <c r="A777" s="210" t="s">
        <v>64</v>
      </c>
      <c r="B777" s="239" t="s">
        <v>599</v>
      </c>
      <c r="C777" s="243" t="s">
        <v>7</v>
      </c>
      <c r="D777" s="213"/>
      <c r="E777" s="214"/>
      <c r="F777" s="214"/>
      <c r="G777" s="214"/>
      <c r="H777" s="214"/>
      <c r="I777" s="215">
        <f>SUM(I778:I779)</f>
        <v>1</v>
      </c>
      <c r="J777" s="280" t="s">
        <v>1168</v>
      </c>
      <c r="K777" s="281"/>
      <c r="L777" s="281"/>
    </row>
    <row r="778" spans="1:12" s="26" customFormat="1" ht="31.5" customHeight="1" outlineLevel="1">
      <c r="A778" s="240"/>
      <c r="B778" s="268" t="s">
        <v>891</v>
      </c>
      <c r="C778" s="245" t="s">
        <v>7</v>
      </c>
      <c r="D778" s="219">
        <v>1</v>
      </c>
      <c r="E778" s="220"/>
      <c r="F778" s="220"/>
      <c r="G778" s="220"/>
      <c r="H778" s="220"/>
      <c r="I778" s="220">
        <f>D778</f>
        <v>1</v>
      </c>
      <c r="J778" s="280"/>
      <c r="K778" s="281"/>
      <c r="L778" s="281"/>
    </row>
    <row r="779" spans="1:12" s="26" customFormat="1" outlineLevel="1">
      <c r="A779" s="240"/>
      <c r="B779" s="268"/>
      <c r="C779" s="245"/>
      <c r="D779" s="219"/>
      <c r="E779" s="220"/>
      <c r="F779" s="220"/>
      <c r="G779" s="220"/>
      <c r="H779" s="220"/>
      <c r="I779" s="220"/>
      <c r="J779" s="280"/>
      <c r="K779" s="281"/>
      <c r="L779" s="281"/>
    </row>
    <row r="780" spans="1:12" s="26" customFormat="1" ht="31.5" outlineLevel="1">
      <c r="A780" s="210" t="s">
        <v>598</v>
      </c>
      <c r="B780" s="239" t="s">
        <v>542</v>
      </c>
      <c r="C780" s="243" t="s">
        <v>7</v>
      </c>
      <c r="D780" s="213"/>
      <c r="E780" s="214"/>
      <c r="F780" s="214"/>
      <c r="G780" s="214"/>
      <c r="H780" s="214"/>
      <c r="I780" s="215">
        <f>SUM(I781:I782)</f>
        <v>1</v>
      </c>
      <c r="J780" s="280" t="s">
        <v>1168</v>
      </c>
      <c r="K780" s="281"/>
      <c r="L780" s="281"/>
    </row>
    <row r="781" spans="1:12" s="26" customFormat="1" ht="31.5" customHeight="1" outlineLevel="1">
      <c r="A781" s="240"/>
      <c r="B781" s="242" t="s">
        <v>893</v>
      </c>
      <c r="C781" s="245" t="s">
        <v>7</v>
      </c>
      <c r="D781" s="219">
        <v>1</v>
      </c>
      <c r="E781" s="220"/>
      <c r="F781" s="220"/>
      <c r="G781" s="220"/>
      <c r="H781" s="220"/>
      <c r="I781" s="220">
        <f>D781</f>
        <v>1</v>
      </c>
      <c r="J781" s="280"/>
      <c r="K781" s="281"/>
      <c r="L781" s="281"/>
    </row>
    <row r="782" spans="1:12" s="26" customFormat="1" outlineLevel="1">
      <c r="A782" s="252"/>
      <c r="B782" s="253"/>
      <c r="C782" s="254"/>
      <c r="D782" s="224"/>
      <c r="E782" s="225"/>
      <c r="F782" s="225"/>
      <c r="G782" s="225"/>
      <c r="H782" s="225"/>
      <c r="I782" s="225"/>
      <c r="J782" s="280"/>
      <c r="K782" s="281"/>
      <c r="L782" s="281"/>
    </row>
    <row r="783" spans="1:12" outlineLevel="1">
      <c r="A783" s="188" t="s">
        <v>166</v>
      </c>
      <c r="B783" s="189" t="s">
        <v>543</v>
      </c>
      <c r="C783" s="233"/>
      <c r="D783" s="234"/>
      <c r="E783" s="235"/>
      <c r="F783" s="235"/>
      <c r="G783" s="235"/>
      <c r="H783" s="235"/>
      <c r="I783" s="236"/>
      <c r="J783" s="280" t="s">
        <v>1168</v>
      </c>
      <c r="K783" s="281"/>
      <c r="L783" s="281"/>
    </row>
    <row r="784" spans="1:12" ht="63" customHeight="1" outlineLevel="1">
      <c r="A784" s="210" t="s">
        <v>167</v>
      </c>
      <c r="B784" s="211" t="s">
        <v>894</v>
      </c>
      <c r="C784" s="212" t="s">
        <v>226</v>
      </c>
      <c r="D784" s="213"/>
      <c r="E784" s="214"/>
      <c r="F784" s="214"/>
      <c r="G784" s="214"/>
      <c r="H784" s="214"/>
      <c r="I784" s="215">
        <f>SUM(I785:I789)</f>
        <v>2</v>
      </c>
      <c r="J784" s="280"/>
      <c r="K784" s="281"/>
      <c r="L784" s="281"/>
    </row>
    <row r="785" spans="1:15" outlineLevel="1">
      <c r="A785" s="216"/>
      <c r="B785" s="258" t="s">
        <v>413</v>
      </c>
      <c r="C785" s="218"/>
      <c r="D785" s="219"/>
      <c r="E785" s="220"/>
      <c r="F785" s="220"/>
      <c r="G785" s="220"/>
      <c r="H785" s="220"/>
      <c r="I785" s="220"/>
      <c r="J785" s="280"/>
      <c r="K785" s="281"/>
      <c r="L785" s="281"/>
    </row>
    <row r="786" spans="1:15" outlineLevel="1">
      <c r="A786" s="216"/>
      <c r="B786" s="217" t="s">
        <v>429</v>
      </c>
      <c r="C786" s="218"/>
      <c r="D786" s="219">
        <v>1</v>
      </c>
      <c r="E786" s="220"/>
      <c r="F786" s="220"/>
      <c r="G786" s="220"/>
      <c r="H786" s="220"/>
      <c r="I786" s="220">
        <f>D786</f>
        <v>1</v>
      </c>
      <c r="J786" s="280" t="s">
        <v>1168</v>
      </c>
      <c r="K786" s="281"/>
      <c r="L786" s="281"/>
      <c r="M786" s="26"/>
      <c r="N786" s="26"/>
      <c r="O786" s="26"/>
    </row>
    <row r="787" spans="1:15" ht="15.75" customHeight="1" outlineLevel="1">
      <c r="A787" s="216"/>
      <c r="B787" s="258" t="s">
        <v>414</v>
      </c>
      <c r="C787" s="218"/>
      <c r="D787" s="219"/>
      <c r="E787" s="220"/>
      <c r="F787" s="220"/>
      <c r="G787" s="220"/>
      <c r="H787" s="220"/>
      <c r="I787" s="220"/>
      <c r="J787" s="280"/>
      <c r="K787" s="281"/>
      <c r="L787" s="281"/>
      <c r="M787" s="26"/>
      <c r="N787" s="26"/>
      <c r="O787" s="26"/>
    </row>
    <row r="788" spans="1:15" outlineLevel="1">
      <c r="A788" s="216"/>
      <c r="B788" s="217" t="s">
        <v>429</v>
      </c>
      <c r="C788" s="218"/>
      <c r="D788" s="219">
        <v>1</v>
      </c>
      <c r="E788" s="220"/>
      <c r="F788" s="220"/>
      <c r="G788" s="220"/>
      <c r="H788" s="220"/>
      <c r="I788" s="220">
        <f>D788</f>
        <v>1</v>
      </c>
      <c r="J788" s="280"/>
      <c r="K788" s="281"/>
      <c r="L788" s="281"/>
      <c r="M788" s="26"/>
      <c r="N788" s="26"/>
      <c r="O788" s="26"/>
    </row>
    <row r="789" spans="1:15" outlineLevel="1">
      <c r="A789" s="221"/>
      <c r="B789" s="259"/>
      <c r="C789" s="223"/>
      <c r="D789" s="224"/>
      <c r="E789" s="225"/>
      <c r="F789" s="225"/>
      <c r="G789" s="225"/>
      <c r="H789" s="225"/>
      <c r="I789" s="225"/>
      <c r="J789" s="280" t="s">
        <v>1168</v>
      </c>
      <c r="K789" s="281"/>
      <c r="L789" s="281"/>
      <c r="M789" s="26"/>
      <c r="N789" s="26"/>
      <c r="O789" s="26"/>
    </row>
    <row r="790" spans="1:15" ht="15.75" customHeight="1">
      <c r="A790" s="227" t="s">
        <v>65</v>
      </c>
      <c r="B790" s="228" t="s">
        <v>162</v>
      </c>
      <c r="C790" s="269"/>
      <c r="D790" s="270"/>
      <c r="E790" s="271"/>
      <c r="F790" s="271"/>
      <c r="G790" s="271"/>
      <c r="H790" s="271"/>
      <c r="I790" s="272"/>
      <c r="J790" s="280"/>
      <c r="K790" s="281"/>
      <c r="L790" s="281"/>
      <c r="M790" s="26"/>
      <c r="N790" s="26"/>
      <c r="O790" s="26"/>
    </row>
    <row r="791" spans="1:15" outlineLevel="1">
      <c r="A791" s="188" t="s">
        <v>131</v>
      </c>
      <c r="B791" s="189" t="s">
        <v>544</v>
      </c>
      <c r="C791" s="233"/>
      <c r="D791" s="234"/>
      <c r="E791" s="235"/>
      <c r="F791" s="235"/>
      <c r="G791" s="235"/>
      <c r="H791" s="235"/>
      <c r="I791" s="236"/>
      <c r="J791" s="280"/>
      <c r="K791" s="281"/>
      <c r="L791" s="281"/>
      <c r="M791" s="26"/>
      <c r="N791" s="26"/>
      <c r="O791" s="26"/>
    </row>
    <row r="792" spans="1:15" ht="78.75" outlineLevel="1">
      <c r="A792" s="210" t="s">
        <v>132</v>
      </c>
      <c r="B792" s="239" t="s">
        <v>269</v>
      </c>
      <c r="C792" s="243" t="s">
        <v>226</v>
      </c>
      <c r="D792" s="213"/>
      <c r="E792" s="214"/>
      <c r="F792" s="214"/>
      <c r="G792" s="214"/>
      <c r="H792" s="214"/>
      <c r="I792" s="215">
        <f>SUM(I793:I797)</f>
        <v>14</v>
      </c>
      <c r="J792" s="280" t="s">
        <v>1168</v>
      </c>
      <c r="K792" s="281"/>
      <c r="L792" s="281"/>
      <c r="M792" s="26"/>
      <c r="N792" s="26"/>
      <c r="O792" s="26"/>
    </row>
    <row r="793" spans="1:15" ht="15.75" customHeight="1" outlineLevel="1">
      <c r="A793" s="273"/>
      <c r="B793" s="241" t="s">
        <v>413</v>
      </c>
      <c r="C793" s="245"/>
      <c r="D793" s="274"/>
      <c r="E793" s="220"/>
      <c r="F793" s="220"/>
      <c r="G793" s="220"/>
      <c r="H793" s="220"/>
      <c r="I793" s="275"/>
      <c r="J793" s="280"/>
      <c r="K793" s="281"/>
      <c r="L793" s="281"/>
      <c r="M793" s="26"/>
      <c r="N793" s="26"/>
      <c r="O793" s="26"/>
    </row>
    <row r="794" spans="1:15" outlineLevel="1">
      <c r="A794" s="273"/>
      <c r="B794" s="242" t="s">
        <v>420</v>
      </c>
      <c r="C794" s="245"/>
      <c r="D794" s="219">
        <v>10</v>
      </c>
      <c r="E794" s="220"/>
      <c r="F794" s="220"/>
      <c r="G794" s="220"/>
      <c r="H794" s="220"/>
      <c r="I794" s="220">
        <f>D794</f>
        <v>10</v>
      </c>
      <c r="J794" s="280"/>
      <c r="K794" s="281"/>
      <c r="L794" s="281"/>
      <c r="M794" s="26"/>
      <c r="N794" s="26"/>
      <c r="O794" s="26"/>
    </row>
    <row r="795" spans="1:15" outlineLevel="1">
      <c r="A795" s="240"/>
      <c r="B795" s="241" t="s">
        <v>414</v>
      </c>
      <c r="C795" s="245"/>
      <c r="D795" s="219"/>
      <c r="E795" s="220"/>
      <c r="F795" s="220"/>
      <c r="G795" s="220"/>
      <c r="H795" s="220"/>
      <c r="I795" s="220"/>
      <c r="J795" s="280" t="s">
        <v>1168</v>
      </c>
      <c r="K795" s="281"/>
      <c r="L795" s="281"/>
    </row>
    <row r="796" spans="1:15" ht="15.75" customHeight="1" outlineLevel="1">
      <c r="A796" s="240"/>
      <c r="B796" s="242" t="s">
        <v>473</v>
      </c>
      <c r="C796" s="245"/>
      <c r="D796" s="219">
        <v>4</v>
      </c>
      <c r="E796" s="220"/>
      <c r="F796" s="220"/>
      <c r="G796" s="220"/>
      <c r="H796" s="220"/>
      <c r="I796" s="220">
        <f>D796</f>
        <v>4</v>
      </c>
      <c r="J796" s="280"/>
      <c r="K796" s="281"/>
      <c r="L796" s="281"/>
    </row>
    <row r="797" spans="1:15" outlineLevel="1">
      <c r="A797" s="252"/>
      <c r="B797" s="267"/>
      <c r="C797" s="254"/>
      <c r="D797" s="224"/>
      <c r="E797" s="225"/>
      <c r="F797" s="225"/>
      <c r="G797" s="225"/>
      <c r="H797" s="225"/>
      <c r="I797" s="225"/>
      <c r="J797" s="280"/>
      <c r="K797" s="281"/>
      <c r="L797" s="281"/>
    </row>
    <row r="798" spans="1:15" ht="78.75" outlineLevel="1">
      <c r="A798" s="210" t="s">
        <v>133</v>
      </c>
      <c r="B798" s="239" t="s">
        <v>270</v>
      </c>
      <c r="C798" s="243" t="s">
        <v>5</v>
      </c>
      <c r="D798" s="213"/>
      <c r="E798" s="214"/>
      <c r="F798" s="214"/>
      <c r="G798" s="214"/>
      <c r="H798" s="214"/>
      <c r="I798" s="215">
        <f>SUM(I799:I816)</f>
        <v>91.679999999999993</v>
      </c>
      <c r="J798" s="280" t="s">
        <v>1168</v>
      </c>
      <c r="K798" s="281"/>
      <c r="L798" s="281"/>
    </row>
    <row r="799" spans="1:15" ht="15.75" customHeight="1" outlineLevel="1">
      <c r="A799" s="216"/>
      <c r="B799" s="258" t="s">
        <v>411</v>
      </c>
      <c r="C799" s="218"/>
      <c r="D799" s="219"/>
      <c r="E799" s="220"/>
      <c r="F799" s="220"/>
      <c r="G799" s="220"/>
      <c r="H799" s="220"/>
      <c r="I799" s="220"/>
      <c r="J799" s="280"/>
      <c r="K799" s="281"/>
      <c r="L799" s="281"/>
    </row>
    <row r="800" spans="1:15" outlineLevel="1">
      <c r="A800" s="216"/>
      <c r="B800" s="217" t="s">
        <v>420</v>
      </c>
      <c r="C800" s="218"/>
      <c r="D800" s="219"/>
      <c r="E800" s="220"/>
      <c r="F800" s="220">
        <f>1.7*4</f>
        <v>6.8</v>
      </c>
      <c r="G800" s="220"/>
      <c r="H800" s="220"/>
      <c r="I800" s="220">
        <f>F800</f>
        <v>6.8</v>
      </c>
      <c r="J800" s="280"/>
      <c r="K800" s="281"/>
      <c r="L800" s="281"/>
    </row>
    <row r="801" spans="1:12" outlineLevel="1">
      <c r="A801" s="216"/>
      <c r="B801" s="217" t="s">
        <v>420</v>
      </c>
      <c r="C801" s="218"/>
      <c r="D801" s="219"/>
      <c r="E801" s="220"/>
      <c r="F801" s="220">
        <f>1.7*4</f>
        <v>6.8</v>
      </c>
      <c r="G801" s="220"/>
      <c r="H801" s="220"/>
      <c r="I801" s="220">
        <f>F801</f>
        <v>6.8</v>
      </c>
      <c r="J801" s="280" t="s">
        <v>1168</v>
      </c>
      <c r="K801" s="281"/>
      <c r="L801" s="281"/>
    </row>
    <row r="802" spans="1:12" s="26" customFormat="1" ht="15.75" customHeight="1" outlineLevel="1">
      <c r="A802" s="240"/>
      <c r="B802" s="241" t="s">
        <v>413</v>
      </c>
      <c r="C802" s="245"/>
      <c r="D802" s="219"/>
      <c r="E802" s="220"/>
      <c r="F802" s="220"/>
      <c r="G802" s="220"/>
      <c r="H802" s="220"/>
      <c r="I802" s="220"/>
      <c r="J802" s="280"/>
      <c r="K802" s="281"/>
      <c r="L802" s="281"/>
    </row>
    <row r="803" spans="1:12" s="26" customFormat="1" outlineLevel="1">
      <c r="A803" s="240"/>
      <c r="B803" s="242" t="s">
        <v>423</v>
      </c>
      <c r="C803" s="245"/>
      <c r="D803" s="219">
        <v>1</v>
      </c>
      <c r="E803" s="220"/>
      <c r="F803" s="220">
        <v>1.2</v>
      </c>
      <c r="G803" s="220"/>
      <c r="H803" s="220"/>
      <c r="I803" s="220">
        <f t="shared" ref="I803:I809" si="34">F803*D803</f>
        <v>1.2</v>
      </c>
      <c r="J803" s="280"/>
      <c r="K803" s="281"/>
      <c r="L803" s="281"/>
    </row>
    <row r="804" spans="1:12" s="26" customFormat="1" outlineLevel="1">
      <c r="A804" s="240"/>
      <c r="B804" s="242" t="s">
        <v>424</v>
      </c>
      <c r="C804" s="245"/>
      <c r="D804" s="219">
        <v>1</v>
      </c>
      <c r="E804" s="220"/>
      <c r="F804" s="220">
        <v>1.2</v>
      </c>
      <c r="G804" s="220"/>
      <c r="H804" s="220"/>
      <c r="I804" s="220">
        <f t="shared" si="34"/>
        <v>1.2</v>
      </c>
      <c r="J804" s="280" t="s">
        <v>1168</v>
      </c>
      <c r="K804" s="281"/>
      <c r="L804" s="281"/>
    </row>
    <row r="805" spans="1:12" s="26" customFormat="1" ht="15.75" customHeight="1" outlineLevel="1">
      <c r="A805" s="240"/>
      <c r="B805" s="242" t="s">
        <v>425</v>
      </c>
      <c r="C805" s="245"/>
      <c r="D805" s="219">
        <v>1</v>
      </c>
      <c r="E805" s="220"/>
      <c r="F805" s="220">
        <v>0.75</v>
      </c>
      <c r="G805" s="220"/>
      <c r="H805" s="220"/>
      <c r="I805" s="220">
        <f t="shared" si="34"/>
        <v>0.75</v>
      </c>
      <c r="J805" s="280"/>
      <c r="K805" s="281"/>
      <c r="L805" s="281"/>
    </row>
    <row r="806" spans="1:12" s="26" customFormat="1" outlineLevel="1">
      <c r="A806" s="240"/>
      <c r="B806" s="242" t="s">
        <v>163</v>
      </c>
      <c r="C806" s="245"/>
      <c r="D806" s="219">
        <v>1</v>
      </c>
      <c r="E806" s="220"/>
      <c r="F806" s="220">
        <v>3.25</v>
      </c>
      <c r="G806" s="220"/>
      <c r="H806" s="220"/>
      <c r="I806" s="220">
        <f t="shared" si="34"/>
        <v>3.25</v>
      </c>
      <c r="J806" s="280"/>
      <c r="K806" s="281"/>
      <c r="L806" s="281"/>
    </row>
    <row r="807" spans="1:12" s="26" customFormat="1" outlineLevel="1">
      <c r="A807" s="240"/>
      <c r="B807" s="242" t="s">
        <v>428</v>
      </c>
      <c r="C807" s="245"/>
      <c r="D807" s="219">
        <v>3</v>
      </c>
      <c r="E807" s="220"/>
      <c r="F807" s="220">
        <v>10.119999999999999</v>
      </c>
      <c r="G807" s="220"/>
      <c r="H807" s="220"/>
      <c r="I807" s="220">
        <f t="shared" si="34"/>
        <v>30.36</v>
      </c>
      <c r="J807" s="280" t="s">
        <v>1168</v>
      </c>
      <c r="K807" s="281"/>
      <c r="L807" s="281"/>
    </row>
    <row r="808" spans="1:12" s="26" customFormat="1" ht="15.75" customHeight="1" outlineLevel="1">
      <c r="A808" s="240"/>
      <c r="B808" s="242" t="s">
        <v>421</v>
      </c>
      <c r="C808" s="245"/>
      <c r="D808" s="219">
        <v>1</v>
      </c>
      <c r="E808" s="220"/>
      <c r="F808" s="220">
        <f>1.96+4.24</f>
        <v>6.2</v>
      </c>
      <c r="G808" s="220"/>
      <c r="H808" s="220"/>
      <c r="I808" s="220">
        <f t="shared" si="34"/>
        <v>6.2</v>
      </c>
      <c r="J808" s="280"/>
      <c r="K808" s="281"/>
      <c r="L808" s="281"/>
    </row>
    <row r="809" spans="1:12" s="26" customFormat="1" outlineLevel="1">
      <c r="A809" s="240"/>
      <c r="B809" s="242" t="s">
        <v>429</v>
      </c>
      <c r="C809" s="245"/>
      <c r="D809" s="219">
        <v>1</v>
      </c>
      <c r="E809" s="220"/>
      <c r="F809" s="220">
        <f>1.35+1.37</f>
        <v>2.72</v>
      </c>
      <c r="G809" s="220"/>
      <c r="H809" s="220"/>
      <c r="I809" s="220">
        <f t="shared" si="34"/>
        <v>2.72</v>
      </c>
      <c r="J809" s="280"/>
      <c r="K809" s="281"/>
      <c r="L809" s="281"/>
    </row>
    <row r="810" spans="1:12" s="26" customFormat="1" outlineLevel="1">
      <c r="A810" s="240"/>
      <c r="B810" s="241" t="s">
        <v>414</v>
      </c>
      <c r="C810" s="245"/>
      <c r="D810" s="219"/>
      <c r="E810" s="220"/>
      <c r="F810" s="220"/>
      <c r="G810" s="220"/>
      <c r="H810" s="220"/>
      <c r="I810" s="220"/>
      <c r="J810" s="280" t="s">
        <v>1168</v>
      </c>
      <c r="K810" s="281"/>
      <c r="L810" s="281"/>
    </row>
    <row r="811" spans="1:12" s="26" customFormat="1" ht="15.75" customHeight="1" outlineLevel="1">
      <c r="A811" s="240"/>
      <c r="B811" s="242" t="s">
        <v>420</v>
      </c>
      <c r="C811" s="245"/>
      <c r="D811" s="219">
        <v>2</v>
      </c>
      <c r="E811" s="220"/>
      <c r="F811" s="220">
        <f>2*2+1.2*2</f>
        <v>6.4</v>
      </c>
      <c r="G811" s="220"/>
      <c r="H811" s="220"/>
      <c r="I811" s="220">
        <f>F811*D811</f>
        <v>12.8</v>
      </c>
      <c r="J811" s="280"/>
      <c r="K811" s="281"/>
      <c r="L811" s="281"/>
    </row>
    <row r="812" spans="1:12" s="26" customFormat="1" outlineLevel="1">
      <c r="A812" s="240"/>
      <c r="B812" s="242" t="s">
        <v>423</v>
      </c>
      <c r="C812" s="245"/>
      <c r="D812" s="219">
        <v>1</v>
      </c>
      <c r="E812" s="220"/>
      <c r="F812" s="220">
        <v>1.2</v>
      </c>
      <c r="G812" s="220"/>
      <c r="H812" s="220"/>
      <c r="I812" s="220">
        <f>F812*D812</f>
        <v>1.2</v>
      </c>
      <c r="J812" s="280"/>
      <c r="K812" s="281"/>
      <c r="L812" s="281"/>
    </row>
    <row r="813" spans="1:12" outlineLevel="1">
      <c r="A813" s="240"/>
      <c r="B813" s="242" t="s">
        <v>424</v>
      </c>
      <c r="C813" s="245"/>
      <c r="D813" s="219">
        <v>1</v>
      </c>
      <c r="E813" s="220"/>
      <c r="F813" s="220">
        <v>1.2</v>
      </c>
      <c r="G813" s="220"/>
      <c r="H813" s="220"/>
      <c r="I813" s="220">
        <f>F813*D813</f>
        <v>1.2</v>
      </c>
      <c r="J813" s="280" t="s">
        <v>1168</v>
      </c>
      <c r="K813" s="281"/>
      <c r="L813" s="281"/>
    </row>
    <row r="814" spans="1:12" ht="15.75" customHeight="1" outlineLevel="1">
      <c r="A814" s="240"/>
      <c r="B814" s="242" t="s">
        <v>473</v>
      </c>
      <c r="C814" s="245"/>
      <c r="D814" s="219">
        <v>1</v>
      </c>
      <c r="E814" s="220"/>
      <c r="F814" s="220">
        <f>3.21+11.28</f>
        <v>14.489999999999998</v>
      </c>
      <c r="G814" s="220"/>
      <c r="H814" s="220"/>
      <c r="I814" s="220">
        <f>F814*D814</f>
        <v>14.489999999999998</v>
      </c>
      <c r="J814" s="280"/>
      <c r="K814" s="281"/>
      <c r="L814" s="281"/>
    </row>
    <row r="815" spans="1:12" outlineLevel="1">
      <c r="A815" s="240"/>
      <c r="B815" s="242" t="s">
        <v>429</v>
      </c>
      <c r="C815" s="245"/>
      <c r="D815" s="219">
        <v>1</v>
      </c>
      <c r="E815" s="220"/>
      <c r="F815" s="220">
        <f>1.35+1.36</f>
        <v>2.71</v>
      </c>
      <c r="G815" s="220"/>
      <c r="H815" s="220"/>
      <c r="I815" s="220">
        <f>F815*D815</f>
        <v>2.71</v>
      </c>
      <c r="J815" s="280"/>
      <c r="K815" s="281"/>
      <c r="L815" s="281"/>
    </row>
    <row r="816" spans="1:12" outlineLevel="1">
      <c r="A816" s="252"/>
      <c r="B816" s="267"/>
      <c r="C816" s="254"/>
      <c r="D816" s="224"/>
      <c r="E816" s="225"/>
      <c r="F816" s="225"/>
      <c r="G816" s="225"/>
      <c r="H816" s="225"/>
      <c r="I816" s="225"/>
      <c r="J816" s="280" t="s">
        <v>1168</v>
      </c>
      <c r="K816" s="281"/>
      <c r="L816" s="281"/>
    </row>
    <row r="817" spans="1:15" ht="47.25" customHeight="1" outlineLevel="1">
      <c r="A817" s="210" t="s">
        <v>134</v>
      </c>
      <c r="B817" s="211" t="s">
        <v>271</v>
      </c>
      <c r="C817" s="212" t="s">
        <v>226</v>
      </c>
      <c r="D817" s="213"/>
      <c r="E817" s="214"/>
      <c r="F817" s="214"/>
      <c r="G817" s="214"/>
      <c r="H817" s="214"/>
      <c r="I817" s="215">
        <f>SUM(I818:I821)</f>
        <v>21</v>
      </c>
      <c r="J817" s="280"/>
      <c r="K817" s="281"/>
      <c r="L817" s="281"/>
    </row>
    <row r="818" spans="1:15" outlineLevel="1">
      <c r="A818" s="240"/>
      <c r="B818" s="258" t="s">
        <v>414</v>
      </c>
      <c r="C818" s="218"/>
      <c r="D818" s="219"/>
      <c r="E818" s="220"/>
      <c r="F818" s="220"/>
      <c r="G818" s="220"/>
      <c r="H818" s="220"/>
      <c r="I818" s="220"/>
      <c r="J818" s="280"/>
      <c r="K818" s="281"/>
      <c r="L818" s="281"/>
    </row>
    <row r="819" spans="1:15" outlineLevel="1">
      <c r="A819" s="240"/>
      <c r="B819" s="217" t="s">
        <v>473</v>
      </c>
      <c r="C819" s="218"/>
      <c r="D819" s="219">
        <v>7</v>
      </c>
      <c r="E819" s="220"/>
      <c r="F819" s="220"/>
      <c r="G819" s="220"/>
      <c r="H819" s="220"/>
      <c r="I819" s="220">
        <f>D819</f>
        <v>7</v>
      </c>
      <c r="J819" s="280" t="s">
        <v>1168</v>
      </c>
      <c r="K819" s="281"/>
      <c r="L819" s="281"/>
    </row>
    <row r="820" spans="1:15" ht="15.75" customHeight="1" outlineLevel="1">
      <c r="A820" s="240"/>
      <c r="B820" s="217" t="s">
        <v>431</v>
      </c>
      <c r="C820" s="218"/>
      <c r="D820" s="219">
        <v>14</v>
      </c>
      <c r="E820" s="220"/>
      <c r="F820" s="220"/>
      <c r="G820" s="220"/>
      <c r="H820" s="220"/>
      <c r="I820" s="220">
        <f>D820</f>
        <v>14</v>
      </c>
      <c r="J820" s="280"/>
      <c r="K820" s="281"/>
      <c r="L820" s="281"/>
    </row>
    <row r="821" spans="1:15" outlineLevel="1">
      <c r="A821" s="252"/>
      <c r="B821" s="222"/>
      <c r="C821" s="223"/>
      <c r="D821" s="224"/>
      <c r="E821" s="225"/>
      <c r="F821" s="225"/>
      <c r="G821" s="225"/>
      <c r="H821" s="225"/>
      <c r="I821" s="225"/>
      <c r="J821" s="280"/>
      <c r="K821" s="281"/>
      <c r="L821" s="281"/>
    </row>
    <row r="822" spans="1:15" outlineLevel="1">
      <c r="A822" s="188" t="s">
        <v>180</v>
      </c>
      <c r="B822" s="189" t="s">
        <v>545</v>
      </c>
      <c r="C822" s="233"/>
      <c r="D822" s="234"/>
      <c r="E822" s="235"/>
      <c r="F822" s="235"/>
      <c r="G822" s="235"/>
      <c r="H822" s="235"/>
      <c r="I822" s="236"/>
      <c r="J822" s="280" t="s">
        <v>1168</v>
      </c>
      <c r="K822" s="281"/>
      <c r="L822" s="281"/>
      <c r="M822" s="26"/>
      <c r="N822" s="26"/>
      <c r="O822" s="26"/>
    </row>
    <row r="823" spans="1:15" ht="63" customHeight="1" outlineLevel="1">
      <c r="A823" s="210" t="s">
        <v>181</v>
      </c>
      <c r="B823" s="211" t="s">
        <v>272</v>
      </c>
      <c r="C823" s="212" t="s">
        <v>226</v>
      </c>
      <c r="D823" s="213"/>
      <c r="E823" s="214"/>
      <c r="F823" s="214"/>
      <c r="G823" s="214"/>
      <c r="H823" s="214"/>
      <c r="I823" s="215">
        <f>SUM(I824:I827)</f>
        <v>4</v>
      </c>
      <c r="J823" s="280"/>
      <c r="K823" s="281"/>
      <c r="L823" s="281"/>
    </row>
    <row r="824" spans="1:15" outlineLevel="1">
      <c r="A824" s="240"/>
      <c r="B824" s="258" t="s">
        <v>413</v>
      </c>
      <c r="C824" s="218"/>
      <c r="D824" s="219"/>
      <c r="E824" s="220"/>
      <c r="F824" s="220"/>
      <c r="G824" s="220"/>
      <c r="H824" s="220"/>
      <c r="I824" s="220"/>
      <c r="J824" s="280"/>
      <c r="K824" s="281"/>
      <c r="L824" s="281"/>
    </row>
    <row r="825" spans="1:15" outlineLevel="1">
      <c r="A825" s="240"/>
      <c r="B825" s="217" t="s">
        <v>425</v>
      </c>
      <c r="C825" s="218"/>
      <c r="D825" s="219">
        <v>1</v>
      </c>
      <c r="E825" s="220"/>
      <c r="F825" s="220"/>
      <c r="G825" s="220"/>
      <c r="H825" s="220"/>
      <c r="I825" s="220">
        <f>D825</f>
        <v>1</v>
      </c>
      <c r="J825" s="280" t="s">
        <v>1168</v>
      </c>
      <c r="K825" s="281"/>
      <c r="L825" s="281"/>
    </row>
    <row r="826" spans="1:15" ht="15.75" customHeight="1" outlineLevel="1">
      <c r="A826" s="240"/>
      <c r="B826" s="217" t="s">
        <v>421</v>
      </c>
      <c r="C826" s="218"/>
      <c r="D826" s="219">
        <v>3</v>
      </c>
      <c r="E826" s="220"/>
      <c r="F826" s="220"/>
      <c r="G826" s="220"/>
      <c r="H826" s="220"/>
      <c r="I826" s="220">
        <f>D826</f>
        <v>3</v>
      </c>
      <c r="J826" s="280"/>
      <c r="K826" s="281"/>
      <c r="L826" s="281"/>
    </row>
    <row r="827" spans="1:15" outlineLevel="1">
      <c r="A827" s="252"/>
      <c r="B827" s="222"/>
      <c r="C827" s="223"/>
      <c r="D827" s="224"/>
      <c r="E827" s="225"/>
      <c r="F827" s="225"/>
      <c r="G827" s="225"/>
      <c r="H827" s="225"/>
      <c r="I827" s="225"/>
      <c r="J827" s="280"/>
      <c r="K827" s="281"/>
      <c r="L827" s="281"/>
    </row>
    <row r="828" spans="1:15" outlineLevel="1">
      <c r="A828" s="188" t="s">
        <v>339</v>
      </c>
      <c r="B828" s="189" t="s">
        <v>546</v>
      </c>
      <c r="C828" s="233"/>
      <c r="D828" s="234"/>
      <c r="E828" s="235"/>
      <c r="F828" s="235"/>
      <c r="G828" s="235"/>
      <c r="H828" s="235"/>
      <c r="I828" s="236"/>
      <c r="J828" s="280" t="s">
        <v>1168</v>
      </c>
      <c r="K828" s="281"/>
      <c r="L828" s="281"/>
      <c r="M828" s="26"/>
      <c r="N828" s="26"/>
      <c r="O828" s="26"/>
    </row>
    <row r="829" spans="1:15" ht="47.25" customHeight="1" outlineLevel="1">
      <c r="A829" s="210" t="s">
        <v>340</v>
      </c>
      <c r="B829" s="239" t="s">
        <v>273</v>
      </c>
      <c r="C829" s="243" t="s">
        <v>4</v>
      </c>
      <c r="D829" s="213"/>
      <c r="E829" s="214"/>
      <c r="F829" s="214"/>
      <c r="G829" s="214"/>
      <c r="H829" s="214"/>
      <c r="I829" s="215">
        <f>SUM(I830:I832)</f>
        <v>6.48</v>
      </c>
      <c r="J829" s="280"/>
      <c r="K829" s="281"/>
      <c r="L829" s="281"/>
    </row>
    <row r="830" spans="1:15" outlineLevel="1">
      <c r="A830" s="240"/>
      <c r="B830" s="241" t="s">
        <v>413</v>
      </c>
      <c r="C830" s="245"/>
      <c r="D830" s="219"/>
      <c r="E830" s="220"/>
      <c r="F830" s="220"/>
      <c r="G830" s="220"/>
      <c r="H830" s="220"/>
      <c r="I830" s="220"/>
      <c r="J830" s="280"/>
      <c r="K830" s="281"/>
      <c r="L830" s="281"/>
    </row>
    <row r="831" spans="1:15" outlineLevel="1">
      <c r="A831" s="240"/>
      <c r="B831" s="242" t="s">
        <v>420</v>
      </c>
      <c r="C831" s="245"/>
      <c r="D831" s="219">
        <v>2</v>
      </c>
      <c r="E831" s="220"/>
      <c r="F831" s="220">
        <v>3.6</v>
      </c>
      <c r="G831" s="220">
        <v>0.9</v>
      </c>
      <c r="H831" s="220"/>
      <c r="I831" s="220">
        <f>D831*F831*G831</f>
        <v>6.48</v>
      </c>
      <c r="J831" s="280" t="s">
        <v>1168</v>
      </c>
      <c r="K831" s="281"/>
      <c r="L831" s="281"/>
    </row>
    <row r="832" spans="1:15" ht="15.75" customHeight="1" outlineLevel="1">
      <c r="A832" s="252"/>
      <c r="B832" s="267"/>
      <c r="C832" s="254"/>
      <c r="D832" s="224"/>
      <c r="E832" s="225"/>
      <c r="F832" s="225"/>
      <c r="G832" s="225"/>
      <c r="H832" s="225"/>
      <c r="I832" s="225"/>
      <c r="J832" s="280"/>
      <c r="K832" s="281"/>
      <c r="L832" s="281"/>
    </row>
    <row r="833" spans="1:15" outlineLevel="1">
      <c r="A833" s="188" t="s">
        <v>341</v>
      </c>
      <c r="B833" s="189" t="s">
        <v>850</v>
      </c>
      <c r="C833" s="233"/>
      <c r="D833" s="234"/>
      <c r="E833" s="235"/>
      <c r="F833" s="235"/>
      <c r="G833" s="235"/>
      <c r="H833" s="235"/>
      <c r="I833" s="236"/>
      <c r="J833" s="280"/>
      <c r="K833" s="281"/>
      <c r="L833" s="281"/>
      <c r="M833" s="26"/>
      <c r="N833" s="26"/>
      <c r="O833" s="26"/>
    </row>
    <row r="834" spans="1:15" ht="31.5" outlineLevel="1">
      <c r="A834" s="210" t="s">
        <v>342</v>
      </c>
      <c r="B834" s="239" t="s">
        <v>288</v>
      </c>
      <c r="C834" s="243" t="s">
        <v>7</v>
      </c>
      <c r="D834" s="213"/>
      <c r="E834" s="214"/>
      <c r="F834" s="214"/>
      <c r="G834" s="214"/>
      <c r="H834" s="214"/>
      <c r="I834" s="215">
        <f>SUM(I835:I836)</f>
        <v>1</v>
      </c>
      <c r="J834" s="280" t="s">
        <v>1168</v>
      </c>
      <c r="K834" s="281"/>
      <c r="L834" s="281"/>
    </row>
    <row r="835" spans="1:15" ht="31.5" customHeight="1" outlineLevel="1">
      <c r="A835" s="240"/>
      <c r="B835" s="242" t="s">
        <v>895</v>
      </c>
      <c r="C835" s="245" t="s">
        <v>7</v>
      </c>
      <c r="D835" s="219">
        <v>1</v>
      </c>
      <c r="E835" s="220"/>
      <c r="F835" s="220"/>
      <c r="G835" s="220"/>
      <c r="H835" s="220"/>
      <c r="I835" s="220">
        <f>D835</f>
        <v>1</v>
      </c>
      <c r="J835" s="280"/>
      <c r="K835" s="281"/>
      <c r="L835" s="281"/>
    </row>
    <row r="836" spans="1:15" outlineLevel="1">
      <c r="A836" s="252"/>
      <c r="B836" s="267"/>
      <c r="C836" s="254"/>
      <c r="D836" s="224"/>
      <c r="E836" s="225"/>
      <c r="F836" s="225"/>
      <c r="G836" s="225"/>
      <c r="H836" s="225"/>
      <c r="I836" s="225"/>
      <c r="J836" s="280"/>
      <c r="K836" s="281"/>
      <c r="L836" s="281"/>
    </row>
    <row r="837" spans="1:15" outlineLevel="1">
      <c r="A837" s="188" t="s">
        <v>851</v>
      </c>
      <c r="B837" s="189" t="s">
        <v>852</v>
      </c>
      <c r="C837" s="233"/>
      <c r="D837" s="234"/>
      <c r="E837" s="235"/>
      <c r="F837" s="235"/>
      <c r="G837" s="235"/>
      <c r="H837" s="235"/>
      <c r="I837" s="236"/>
      <c r="J837" s="280" t="s">
        <v>1168</v>
      </c>
      <c r="K837" s="281"/>
      <c r="L837" s="281"/>
      <c r="M837" s="26"/>
      <c r="N837" s="26"/>
      <c r="O837" s="26"/>
    </row>
    <row r="838" spans="1:15" ht="47.25" customHeight="1" outlineLevel="1">
      <c r="A838" s="210" t="s">
        <v>342</v>
      </c>
      <c r="B838" s="239" t="s">
        <v>853</v>
      </c>
      <c r="C838" s="243" t="s">
        <v>7</v>
      </c>
      <c r="D838" s="213"/>
      <c r="E838" s="214"/>
      <c r="F838" s="214"/>
      <c r="G838" s="214"/>
      <c r="H838" s="214"/>
      <c r="I838" s="215">
        <f>SUM(I839:I840)</f>
        <v>1</v>
      </c>
      <c r="J838" s="280"/>
      <c r="K838" s="281"/>
      <c r="L838" s="281"/>
    </row>
    <row r="839" spans="1:15" ht="31.5" outlineLevel="1">
      <c r="A839" s="240"/>
      <c r="B839" s="242" t="s">
        <v>895</v>
      </c>
      <c r="C839" s="245" t="s">
        <v>7</v>
      </c>
      <c r="D839" s="219">
        <v>1</v>
      </c>
      <c r="E839" s="220"/>
      <c r="F839" s="220"/>
      <c r="G839" s="220"/>
      <c r="H839" s="220"/>
      <c r="I839" s="220">
        <f>D839</f>
        <v>1</v>
      </c>
      <c r="J839" s="280"/>
      <c r="K839" s="281"/>
      <c r="L839" s="281"/>
    </row>
    <row r="840" spans="1:15" outlineLevel="1">
      <c r="A840" s="252"/>
      <c r="B840" s="267"/>
      <c r="C840" s="254"/>
      <c r="D840" s="224"/>
      <c r="E840" s="225"/>
      <c r="F840" s="225"/>
      <c r="G840" s="225"/>
      <c r="H840" s="225"/>
      <c r="I840" s="225"/>
      <c r="J840" s="280" t="s">
        <v>1168</v>
      </c>
      <c r="K840" s="281"/>
      <c r="L840" s="281"/>
    </row>
    <row r="841" spans="1:15">
      <c r="A841" s="227" t="s">
        <v>71</v>
      </c>
      <c r="B841" s="228" t="s">
        <v>129</v>
      </c>
      <c r="C841" s="229"/>
      <c r="D841" s="230"/>
      <c r="E841" s="231"/>
      <c r="F841" s="231"/>
      <c r="G841" s="231"/>
      <c r="H841" s="231"/>
      <c r="I841" s="232"/>
      <c r="J841" s="280"/>
      <c r="K841" s="281"/>
      <c r="L841" s="281"/>
      <c r="M841" s="26"/>
      <c r="N841" s="26"/>
      <c r="O841" s="26"/>
    </row>
    <row r="842" spans="1:15" outlineLevel="1">
      <c r="A842" s="188" t="s">
        <v>155</v>
      </c>
      <c r="B842" s="189" t="s">
        <v>547</v>
      </c>
      <c r="C842" s="233"/>
      <c r="D842" s="234"/>
      <c r="E842" s="235"/>
      <c r="F842" s="235"/>
      <c r="G842" s="235"/>
      <c r="H842" s="235"/>
      <c r="I842" s="236"/>
      <c r="J842" s="280"/>
      <c r="K842" s="281"/>
      <c r="L842" s="281"/>
      <c r="M842" s="26"/>
      <c r="N842" s="26"/>
      <c r="O842" s="26"/>
    </row>
    <row r="843" spans="1:15" ht="126" outlineLevel="1">
      <c r="A843" s="210" t="s">
        <v>182</v>
      </c>
      <c r="B843" s="239" t="s">
        <v>583</v>
      </c>
      <c r="C843" s="243" t="s">
        <v>7</v>
      </c>
      <c r="D843" s="219">
        <v>1</v>
      </c>
      <c r="E843" s="220"/>
      <c r="F843" s="220"/>
      <c r="G843" s="220"/>
      <c r="H843" s="220"/>
      <c r="I843" s="220">
        <f>D843</f>
        <v>1</v>
      </c>
      <c r="J843" s="280" t="s">
        <v>1168</v>
      </c>
      <c r="K843" s="281"/>
      <c r="L843" s="281"/>
      <c r="M843" s="26"/>
      <c r="N843" s="26"/>
      <c r="O843" s="26"/>
    </row>
    <row r="844" spans="1:15" outlineLevel="1">
      <c r="A844" s="188" t="s">
        <v>175</v>
      </c>
      <c r="B844" s="189" t="s">
        <v>548</v>
      </c>
      <c r="C844" s="233"/>
      <c r="D844" s="234"/>
      <c r="E844" s="235"/>
      <c r="F844" s="235"/>
      <c r="G844" s="235"/>
      <c r="H844" s="235"/>
      <c r="I844" s="236"/>
      <c r="J844" s="280"/>
      <c r="K844" s="281"/>
      <c r="L844" s="281"/>
      <c r="M844" s="26"/>
      <c r="N844" s="26"/>
      <c r="O844" s="26"/>
    </row>
    <row r="845" spans="1:15" ht="173.25" outlineLevel="1">
      <c r="A845" s="210" t="s">
        <v>582</v>
      </c>
      <c r="B845" s="239" t="s">
        <v>580</v>
      </c>
      <c r="C845" s="243" t="s">
        <v>7</v>
      </c>
      <c r="D845" s="276">
        <v>1</v>
      </c>
      <c r="E845" s="277"/>
      <c r="F845" s="277"/>
      <c r="G845" s="277"/>
      <c r="H845" s="277"/>
      <c r="I845" s="277">
        <f>D845</f>
        <v>1</v>
      </c>
      <c r="J845" s="280"/>
      <c r="K845" s="281"/>
      <c r="L845" s="281"/>
      <c r="M845" s="26"/>
      <c r="N845" s="26"/>
      <c r="O845" s="26"/>
    </row>
    <row r="846" spans="1:15" ht="74.25" outlineLevel="1">
      <c r="A846" s="210" t="s">
        <v>581</v>
      </c>
      <c r="B846" s="239" t="s">
        <v>1164</v>
      </c>
      <c r="C846" s="243" t="s">
        <v>7</v>
      </c>
      <c r="D846" s="219">
        <v>1</v>
      </c>
      <c r="E846" s="220"/>
      <c r="F846" s="220"/>
      <c r="G846" s="220"/>
      <c r="H846" s="220"/>
      <c r="I846" s="220">
        <f>D846</f>
        <v>1</v>
      </c>
      <c r="J846" s="280" t="s">
        <v>1168</v>
      </c>
      <c r="K846" s="281"/>
      <c r="L846" s="281"/>
      <c r="M846" s="26"/>
      <c r="N846" s="26"/>
      <c r="O846" s="26"/>
    </row>
    <row r="847" spans="1:15">
      <c r="A847" s="227" t="s">
        <v>114</v>
      </c>
      <c r="B847" s="228" t="s">
        <v>343</v>
      </c>
      <c r="C847" s="229"/>
      <c r="D847" s="230"/>
      <c r="E847" s="231"/>
      <c r="F847" s="231"/>
      <c r="G847" s="231"/>
      <c r="H847" s="231"/>
      <c r="I847" s="232"/>
      <c r="J847" s="280"/>
      <c r="K847" s="281"/>
      <c r="L847" s="281"/>
      <c r="M847" s="26"/>
      <c r="N847" s="26"/>
      <c r="O847" s="26"/>
    </row>
    <row r="848" spans="1:15" outlineLevel="1">
      <c r="A848" s="188" t="s">
        <v>130</v>
      </c>
      <c r="B848" s="189" t="s">
        <v>549</v>
      </c>
      <c r="C848" s="233"/>
      <c r="D848" s="234"/>
      <c r="E848" s="235"/>
      <c r="F848" s="235"/>
      <c r="G848" s="235"/>
      <c r="H848" s="235"/>
      <c r="I848" s="236"/>
      <c r="J848" s="280"/>
      <c r="K848" s="281"/>
      <c r="L848" s="281"/>
      <c r="M848" s="26"/>
      <c r="N848" s="26"/>
      <c r="O848" s="26"/>
    </row>
    <row r="849" spans="1:15" outlineLevel="1">
      <c r="A849" s="210" t="s">
        <v>298</v>
      </c>
      <c r="B849" s="239" t="s">
        <v>550</v>
      </c>
      <c r="C849" s="243" t="s">
        <v>226</v>
      </c>
      <c r="D849" s="213"/>
      <c r="E849" s="214"/>
      <c r="F849" s="214"/>
      <c r="G849" s="214"/>
      <c r="H849" s="214"/>
      <c r="I849" s="215">
        <f>SUM(I850:I852)</f>
        <v>4</v>
      </c>
      <c r="J849" s="280" t="s">
        <v>1168</v>
      </c>
      <c r="K849" s="281"/>
      <c r="L849" s="281"/>
      <c r="M849" s="26"/>
      <c r="N849" s="26"/>
      <c r="O849" s="26"/>
    </row>
    <row r="850" spans="1:15" outlineLevel="1">
      <c r="A850" s="273"/>
      <c r="B850" s="241" t="s">
        <v>551</v>
      </c>
      <c r="C850" s="245"/>
      <c r="D850" s="219"/>
      <c r="E850" s="220"/>
      <c r="F850" s="220"/>
      <c r="G850" s="220"/>
      <c r="H850" s="220"/>
      <c r="I850" s="275"/>
      <c r="J850" s="280"/>
      <c r="K850" s="281"/>
      <c r="L850" s="281"/>
      <c r="M850" s="26"/>
      <c r="N850" s="26"/>
      <c r="O850" s="26"/>
    </row>
    <row r="851" spans="1:15" outlineLevel="1">
      <c r="A851" s="273"/>
      <c r="B851" s="242" t="s">
        <v>422</v>
      </c>
      <c r="C851" s="245"/>
      <c r="D851" s="219">
        <v>4</v>
      </c>
      <c r="E851" s="220"/>
      <c r="F851" s="220"/>
      <c r="G851" s="220"/>
      <c r="H851" s="220"/>
      <c r="I851" s="220">
        <f>D851</f>
        <v>4</v>
      </c>
      <c r="J851" s="280"/>
      <c r="K851" s="281"/>
      <c r="L851" s="281"/>
      <c r="M851" s="26"/>
      <c r="N851" s="26"/>
      <c r="O851" s="26"/>
    </row>
    <row r="852" spans="1:15" outlineLevel="1">
      <c r="A852" s="252"/>
      <c r="B852" s="267"/>
      <c r="C852" s="254"/>
      <c r="D852" s="224"/>
      <c r="E852" s="225"/>
      <c r="F852" s="225"/>
      <c r="G852" s="225"/>
      <c r="H852" s="225"/>
      <c r="I852" s="225"/>
      <c r="J852" s="280" t="s">
        <v>1168</v>
      </c>
      <c r="K852" s="281"/>
      <c r="L852" s="281"/>
    </row>
    <row r="853" spans="1:15" outlineLevel="1">
      <c r="A853" s="210" t="s">
        <v>346</v>
      </c>
      <c r="B853" s="239" t="s">
        <v>552</v>
      </c>
      <c r="C853" s="243" t="s">
        <v>226</v>
      </c>
      <c r="D853" s="213"/>
      <c r="E853" s="214"/>
      <c r="F853" s="214"/>
      <c r="G853" s="214"/>
      <c r="H853" s="214"/>
      <c r="I853" s="215">
        <f>SUM(I854:I856)</f>
        <v>4</v>
      </c>
      <c r="J853" s="280"/>
      <c r="K853" s="281"/>
      <c r="L853" s="281"/>
      <c r="M853" s="26"/>
      <c r="N853" s="26"/>
      <c r="O853" s="26"/>
    </row>
    <row r="854" spans="1:15" outlineLevel="1">
      <c r="A854" s="273"/>
      <c r="B854" s="241" t="s">
        <v>551</v>
      </c>
      <c r="C854" s="245"/>
      <c r="D854" s="219"/>
      <c r="E854" s="220"/>
      <c r="F854" s="220"/>
      <c r="G854" s="220"/>
      <c r="H854" s="220"/>
      <c r="I854" s="275"/>
      <c r="J854" s="280"/>
      <c r="K854" s="281"/>
      <c r="L854" s="281"/>
      <c r="M854" s="26"/>
      <c r="N854" s="26"/>
      <c r="O854" s="26"/>
    </row>
    <row r="855" spans="1:15" outlineLevel="1">
      <c r="A855" s="273"/>
      <c r="B855" s="242" t="s">
        <v>422</v>
      </c>
      <c r="C855" s="245"/>
      <c r="D855" s="219">
        <v>4</v>
      </c>
      <c r="E855" s="220"/>
      <c r="F855" s="220"/>
      <c r="G855" s="220"/>
      <c r="H855" s="220"/>
      <c r="I855" s="220">
        <f>D855</f>
        <v>4</v>
      </c>
      <c r="J855" s="280" t="s">
        <v>1168</v>
      </c>
      <c r="K855" s="281"/>
      <c r="L855" s="281"/>
      <c r="M855" s="26"/>
      <c r="N855" s="26"/>
      <c r="O855" s="26"/>
    </row>
    <row r="856" spans="1:15" outlineLevel="1">
      <c r="A856" s="252"/>
      <c r="B856" s="267"/>
      <c r="C856" s="254"/>
      <c r="D856" s="224"/>
      <c r="E856" s="225"/>
      <c r="F856" s="225"/>
      <c r="G856" s="225"/>
      <c r="H856" s="225"/>
      <c r="I856" s="225"/>
      <c r="J856" s="280"/>
      <c r="K856" s="281"/>
      <c r="L856" s="281"/>
    </row>
    <row r="857" spans="1:15" outlineLevel="1">
      <c r="A857" s="188" t="s">
        <v>164</v>
      </c>
      <c r="B857" s="189" t="s">
        <v>553</v>
      </c>
      <c r="C857" s="233"/>
      <c r="D857" s="234"/>
      <c r="E857" s="235"/>
      <c r="F857" s="235"/>
      <c r="G857" s="235"/>
      <c r="H857" s="235"/>
      <c r="I857" s="236"/>
      <c r="J857" s="280"/>
      <c r="K857" s="281"/>
      <c r="L857" s="281"/>
      <c r="M857" s="26"/>
      <c r="N857" s="26"/>
      <c r="O857" s="26"/>
    </row>
    <row r="858" spans="1:15" outlineLevel="1">
      <c r="A858" s="210" t="s">
        <v>299</v>
      </c>
      <c r="B858" s="239" t="s">
        <v>554</v>
      </c>
      <c r="C858" s="243" t="s">
        <v>226</v>
      </c>
      <c r="D858" s="213"/>
      <c r="E858" s="214"/>
      <c r="F858" s="214"/>
      <c r="G858" s="214"/>
      <c r="H858" s="214"/>
      <c r="I858" s="215">
        <f>SUM(I859:I861)</f>
        <v>26</v>
      </c>
      <c r="J858" s="280" t="s">
        <v>1168</v>
      </c>
      <c r="K858" s="281"/>
      <c r="L858" s="281"/>
      <c r="M858" s="26"/>
      <c r="N858" s="26"/>
      <c r="O858" s="26"/>
    </row>
    <row r="859" spans="1:15" outlineLevel="1">
      <c r="A859" s="273"/>
      <c r="B859" s="241" t="s">
        <v>551</v>
      </c>
      <c r="C859" s="245"/>
      <c r="D859" s="219"/>
      <c r="E859" s="220"/>
      <c r="F859" s="220"/>
      <c r="G859" s="220"/>
      <c r="H859" s="220"/>
      <c r="I859" s="275"/>
      <c r="J859" s="280"/>
      <c r="K859" s="281"/>
      <c r="L859" s="281"/>
      <c r="M859" s="26"/>
      <c r="N859" s="26"/>
      <c r="O859" s="26"/>
    </row>
    <row r="860" spans="1:15" outlineLevel="1">
      <c r="A860" s="273"/>
      <c r="B860" s="242" t="s">
        <v>896</v>
      </c>
      <c r="C860" s="245"/>
      <c r="D860" s="219">
        <v>26</v>
      </c>
      <c r="E860" s="220"/>
      <c r="F860" s="220"/>
      <c r="G860" s="220"/>
      <c r="H860" s="220"/>
      <c r="I860" s="220">
        <f>D860</f>
        <v>26</v>
      </c>
      <c r="J860" s="280"/>
      <c r="K860" s="281"/>
      <c r="L860" s="281"/>
      <c r="M860" s="26"/>
      <c r="N860" s="26"/>
      <c r="O860" s="26"/>
    </row>
    <row r="861" spans="1:15" outlineLevel="1">
      <c r="A861" s="252"/>
      <c r="B861" s="267"/>
      <c r="C861" s="254"/>
      <c r="D861" s="224"/>
      <c r="E861" s="225"/>
      <c r="F861" s="225"/>
      <c r="G861" s="225"/>
      <c r="H861" s="225"/>
      <c r="I861" s="225"/>
      <c r="J861" s="280" t="s">
        <v>1168</v>
      </c>
      <c r="K861" s="281"/>
      <c r="L861" s="281"/>
    </row>
    <row r="862" spans="1:15" outlineLevel="1">
      <c r="A862" s="188" t="s">
        <v>209</v>
      </c>
      <c r="B862" s="189" t="s">
        <v>549</v>
      </c>
      <c r="C862" s="233"/>
      <c r="D862" s="234"/>
      <c r="E862" s="235"/>
      <c r="F862" s="235"/>
      <c r="G862" s="235"/>
      <c r="H862" s="235"/>
      <c r="I862" s="236"/>
      <c r="J862" s="280"/>
      <c r="K862" s="281"/>
      <c r="L862" s="281"/>
      <c r="M862" s="26"/>
      <c r="N862" s="26"/>
      <c r="O862" s="26"/>
    </row>
    <row r="863" spans="1:15" outlineLevel="1">
      <c r="A863" s="210" t="s">
        <v>300</v>
      </c>
      <c r="B863" s="239" t="s">
        <v>555</v>
      </c>
      <c r="C863" s="243" t="s">
        <v>226</v>
      </c>
      <c r="D863" s="213"/>
      <c r="E863" s="214"/>
      <c r="F863" s="214"/>
      <c r="G863" s="214"/>
      <c r="H863" s="214"/>
      <c r="I863" s="215">
        <f>SUM(I864:I866)</f>
        <v>3</v>
      </c>
      <c r="J863" s="280"/>
      <c r="K863" s="281"/>
      <c r="L863" s="281"/>
      <c r="M863" s="26"/>
      <c r="N863" s="26"/>
      <c r="O863" s="26"/>
    </row>
    <row r="864" spans="1:15" outlineLevel="1">
      <c r="A864" s="273"/>
      <c r="B864" s="241" t="s">
        <v>551</v>
      </c>
      <c r="C864" s="245"/>
      <c r="D864" s="219"/>
      <c r="E864" s="220"/>
      <c r="F864" s="220"/>
      <c r="G864" s="220"/>
      <c r="H864" s="220"/>
      <c r="I864" s="275"/>
      <c r="J864" s="280" t="s">
        <v>1168</v>
      </c>
      <c r="K864" s="281"/>
      <c r="L864" s="281"/>
      <c r="M864" s="26"/>
      <c r="N864" s="26"/>
      <c r="O864" s="26"/>
    </row>
    <row r="865" spans="1:15" outlineLevel="1">
      <c r="A865" s="273"/>
      <c r="B865" s="242" t="s">
        <v>896</v>
      </c>
      <c r="C865" s="245"/>
      <c r="D865" s="219">
        <v>3</v>
      </c>
      <c r="E865" s="220"/>
      <c r="F865" s="220"/>
      <c r="G865" s="220"/>
      <c r="H865" s="220"/>
      <c r="I865" s="220">
        <f>D865</f>
        <v>3</v>
      </c>
      <c r="J865" s="280"/>
      <c r="K865" s="281"/>
      <c r="L865" s="281"/>
      <c r="M865" s="26"/>
      <c r="N865" s="26"/>
      <c r="O865" s="26"/>
    </row>
    <row r="866" spans="1:15" outlineLevel="1">
      <c r="A866" s="252"/>
      <c r="B866" s="267"/>
      <c r="C866" s="254"/>
      <c r="D866" s="224"/>
      <c r="E866" s="225"/>
      <c r="F866" s="225"/>
      <c r="G866" s="225"/>
      <c r="H866" s="225"/>
      <c r="I866" s="225"/>
      <c r="J866" s="280"/>
      <c r="K866" s="281"/>
      <c r="L866" s="281"/>
    </row>
    <row r="867" spans="1:15" outlineLevel="1">
      <c r="A867" s="210" t="s">
        <v>347</v>
      </c>
      <c r="B867" s="239" t="s">
        <v>556</v>
      </c>
      <c r="C867" s="243" t="s">
        <v>226</v>
      </c>
      <c r="D867" s="213"/>
      <c r="E867" s="214"/>
      <c r="F867" s="214"/>
      <c r="G867" s="214"/>
      <c r="H867" s="214"/>
      <c r="I867" s="215">
        <f>SUM(I868:I870)</f>
        <v>1</v>
      </c>
      <c r="J867" s="280" t="s">
        <v>1168</v>
      </c>
      <c r="K867" s="281"/>
      <c r="L867" s="281"/>
      <c r="M867" s="26"/>
      <c r="N867" s="26"/>
      <c r="O867" s="26"/>
    </row>
    <row r="868" spans="1:15" outlineLevel="1">
      <c r="A868" s="273"/>
      <c r="B868" s="241" t="s">
        <v>551</v>
      </c>
      <c r="C868" s="245"/>
      <c r="D868" s="219"/>
      <c r="E868" s="220"/>
      <c r="F868" s="220"/>
      <c r="G868" s="220"/>
      <c r="H868" s="220"/>
      <c r="I868" s="275"/>
      <c r="J868" s="280"/>
      <c r="K868" s="281"/>
      <c r="L868" s="281"/>
      <c r="M868" s="26"/>
      <c r="N868" s="26"/>
      <c r="O868" s="26"/>
    </row>
    <row r="869" spans="1:15" outlineLevel="1">
      <c r="A869" s="273"/>
      <c r="B869" s="242" t="s">
        <v>896</v>
      </c>
      <c r="C869" s="245"/>
      <c r="D869" s="219">
        <v>1</v>
      </c>
      <c r="E869" s="220"/>
      <c r="F869" s="220"/>
      <c r="G869" s="220"/>
      <c r="H869" s="220"/>
      <c r="I869" s="220">
        <f>D869</f>
        <v>1</v>
      </c>
      <c r="J869" s="280"/>
      <c r="K869" s="281"/>
      <c r="L869" s="281"/>
      <c r="M869" s="26"/>
      <c r="N869" s="26"/>
      <c r="O869" s="26"/>
    </row>
    <row r="870" spans="1:15" outlineLevel="1">
      <c r="A870" s="252"/>
      <c r="B870" s="267"/>
      <c r="C870" s="254"/>
      <c r="D870" s="224"/>
      <c r="E870" s="225"/>
      <c r="F870" s="225"/>
      <c r="G870" s="225"/>
      <c r="H870" s="225"/>
      <c r="I870" s="225"/>
      <c r="J870" s="280" t="s">
        <v>1168</v>
      </c>
      <c r="K870" s="281"/>
      <c r="L870" s="281"/>
    </row>
    <row r="871" spans="1:15" outlineLevel="1">
      <c r="A871" s="210" t="s">
        <v>348</v>
      </c>
      <c r="B871" s="239" t="s">
        <v>557</v>
      </c>
      <c r="C871" s="243" t="s">
        <v>226</v>
      </c>
      <c r="D871" s="213"/>
      <c r="E871" s="214"/>
      <c r="F871" s="214"/>
      <c r="G871" s="214"/>
      <c r="H871" s="214"/>
      <c r="I871" s="215">
        <f>SUM(I872:I874)</f>
        <v>8</v>
      </c>
      <c r="J871" s="280"/>
      <c r="K871" s="281"/>
      <c r="L871" s="281"/>
      <c r="M871" s="26"/>
      <c r="N871" s="26"/>
      <c r="O871" s="26"/>
    </row>
    <row r="872" spans="1:15" outlineLevel="1">
      <c r="A872" s="273"/>
      <c r="B872" s="241" t="s">
        <v>551</v>
      </c>
      <c r="C872" s="245"/>
      <c r="D872" s="219"/>
      <c r="E872" s="220"/>
      <c r="F872" s="220"/>
      <c r="G872" s="220"/>
      <c r="H872" s="220"/>
      <c r="I872" s="275"/>
      <c r="J872" s="280"/>
      <c r="K872" s="281"/>
      <c r="L872" s="281"/>
      <c r="M872" s="26"/>
      <c r="N872" s="26"/>
      <c r="O872" s="26"/>
    </row>
    <row r="873" spans="1:15" outlineLevel="1">
      <c r="A873" s="273"/>
      <c r="B873" s="242" t="s">
        <v>896</v>
      </c>
      <c r="C873" s="245"/>
      <c r="D873" s="219">
        <v>8</v>
      </c>
      <c r="E873" s="220"/>
      <c r="F873" s="220"/>
      <c r="G873" s="220"/>
      <c r="H873" s="220"/>
      <c r="I873" s="220">
        <f>D873</f>
        <v>8</v>
      </c>
      <c r="J873" s="280" t="s">
        <v>1168</v>
      </c>
      <c r="K873" s="281"/>
      <c r="L873" s="281"/>
      <c r="M873" s="26"/>
      <c r="N873" s="26"/>
      <c r="O873" s="26"/>
    </row>
    <row r="874" spans="1:15" outlineLevel="1">
      <c r="A874" s="252"/>
      <c r="B874" s="267"/>
      <c r="C874" s="254"/>
      <c r="D874" s="224"/>
      <c r="E874" s="225"/>
      <c r="F874" s="225"/>
      <c r="G874" s="225"/>
      <c r="H874" s="225"/>
      <c r="I874" s="225"/>
      <c r="J874" s="280"/>
      <c r="K874" s="281"/>
      <c r="L874" s="281"/>
    </row>
    <row r="875" spans="1:15" outlineLevel="1">
      <c r="A875" s="210" t="s">
        <v>349</v>
      </c>
      <c r="B875" s="239" t="s">
        <v>558</v>
      </c>
      <c r="C875" s="243" t="s">
        <v>226</v>
      </c>
      <c r="D875" s="213"/>
      <c r="E875" s="214"/>
      <c r="F875" s="214"/>
      <c r="G875" s="214"/>
      <c r="H875" s="214"/>
      <c r="I875" s="215">
        <f>SUM(I876:I878)</f>
        <v>8</v>
      </c>
      <c r="J875" s="280"/>
      <c r="K875" s="281"/>
      <c r="L875" s="281"/>
      <c r="M875" s="26"/>
      <c r="N875" s="26"/>
      <c r="O875" s="26"/>
    </row>
    <row r="876" spans="1:15" outlineLevel="1">
      <c r="A876" s="273"/>
      <c r="B876" s="241" t="s">
        <v>551</v>
      </c>
      <c r="C876" s="245"/>
      <c r="D876" s="219"/>
      <c r="E876" s="220"/>
      <c r="F876" s="220"/>
      <c r="G876" s="220"/>
      <c r="H876" s="220"/>
      <c r="I876" s="275"/>
      <c r="J876" s="280" t="s">
        <v>1168</v>
      </c>
      <c r="K876" s="281"/>
      <c r="L876" s="281"/>
      <c r="M876" s="26"/>
      <c r="N876" s="26"/>
      <c r="O876" s="26"/>
    </row>
    <row r="877" spans="1:15" outlineLevel="1">
      <c r="A877" s="273"/>
      <c r="B877" s="242" t="s">
        <v>896</v>
      </c>
      <c r="C877" s="245"/>
      <c r="D877" s="219">
        <v>8</v>
      </c>
      <c r="E877" s="220"/>
      <c r="F877" s="220"/>
      <c r="G877" s="220"/>
      <c r="H877" s="220"/>
      <c r="I877" s="220">
        <f>D877</f>
        <v>8</v>
      </c>
      <c r="J877" s="280"/>
      <c r="K877" s="281"/>
      <c r="L877" s="281"/>
      <c r="M877" s="26"/>
      <c r="N877" s="26"/>
      <c r="O877" s="26"/>
    </row>
    <row r="878" spans="1:15" outlineLevel="1">
      <c r="A878" s="252"/>
      <c r="B878" s="267"/>
      <c r="C878" s="254"/>
      <c r="D878" s="224"/>
      <c r="E878" s="225"/>
      <c r="F878" s="225"/>
      <c r="G878" s="225"/>
      <c r="H878" s="225"/>
      <c r="I878" s="225"/>
      <c r="J878" s="280"/>
      <c r="K878" s="281"/>
      <c r="L878" s="281"/>
    </row>
    <row r="879" spans="1:15">
      <c r="A879" s="227" t="s">
        <v>115</v>
      </c>
      <c r="B879" s="228" t="s">
        <v>260</v>
      </c>
      <c r="C879" s="229"/>
      <c r="D879" s="230"/>
      <c r="E879" s="231"/>
      <c r="F879" s="231"/>
      <c r="G879" s="231"/>
      <c r="H879" s="231"/>
      <c r="I879" s="232"/>
      <c r="J879" s="280" t="s">
        <v>1168</v>
      </c>
      <c r="K879" s="281"/>
      <c r="L879" s="281"/>
      <c r="M879" s="26"/>
      <c r="N879" s="26"/>
      <c r="O879" s="26"/>
    </row>
    <row r="880" spans="1:15" outlineLevel="1">
      <c r="A880" s="257" t="s">
        <v>135</v>
      </c>
      <c r="B880" s="189" t="s">
        <v>559</v>
      </c>
      <c r="C880" s="233"/>
      <c r="D880" s="234"/>
      <c r="E880" s="235"/>
      <c r="F880" s="235"/>
      <c r="G880" s="235"/>
      <c r="H880" s="235"/>
      <c r="I880" s="236"/>
      <c r="J880" s="280"/>
      <c r="K880" s="281"/>
      <c r="L880" s="281"/>
    </row>
    <row r="881" spans="1:12" outlineLevel="1">
      <c r="A881" s="210" t="s">
        <v>285</v>
      </c>
      <c r="B881" s="211" t="s">
        <v>268</v>
      </c>
      <c r="C881" s="212" t="s">
        <v>226</v>
      </c>
      <c r="D881" s="213"/>
      <c r="E881" s="214"/>
      <c r="F881" s="214"/>
      <c r="G881" s="214"/>
      <c r="H881" s="214"/>
      <c r="I881" s="215">
        <f>SUM(I882:I884)</f>
        <v>1</v>
      </c>
      <c r="J881" s="280"/>
      <c r="K881" s="281"/>
      <c r="L881" s="281"/>
    </row>
    <row r="882" spans="1:12" outlineLevel="1">
      <c r="A882" s="240"/>
      <c r="B882" s="258" t="s">
        <v>412</v>
      </c>
      <c r="C882" s="218"/>
      <c r="D882" s="219"/>
      <c r="E882" s="220"/>
      <c r="F882" s="220"/>
      <c r="G882" s="220"/>
      <c r="H882" s="220"/>
      <c r="I882" s="220"/>
      <c r="J882" s="280" t="s">
        <v>1168</v>
      </c>
      <c r="K882" s="281"/>
      <c r="L882" s="281"/>
    </row>
    <row r="883" spans="1:12" outlineLevel="1">
      <c r="A883" s="240"/>
      <c r="B883" s="217" t="s">
        <v>560</v>
      </c>
      <c r="C883" s="218"/>
      <c r="D883" s="219">
        <v>1</v>
      </c>
      <c r="E883" s="220"/>
      <c r="F883" s="220"/>
      <c r="G883" s="220"/>
      <c r="H883" s="220"/>
      <c r="I883" s="220">
        <f>D883</f>
        <v>1</v>
      </c>
      <c r="J883" s="280"/>
      <c r="K883" s="281"/>
      <c r="L883" s="281"/>
    </row>
    <row r="884" spans="1:12" outlineLevel="1">
      <c r="A884" s="252"/>
      <c r="B884" s="259"/>
      <c r="C884" s="223"/>
      <c r="D884" s="224"/>
      <c r="E884" s="225"/>
      <c r="F884" s="225"/>
      <c r="G884" s="225"/>
      <c r="H884" s="225"/>
      <c r="I884" s="225"/>
      <c r="J884" s="280"/>
      <c r="K884" s="281"/>
      <c r="L884" s="281"/>
    </row>
    <row r="885" spans="1:12" s="26" customFormat="1" outlineLevel="1">
      <c r="A885" s="188" t="s">
        <v>136</v>
      </c>
      <c r="B885" s="189" t="s">
        <v>561</v>
      </c>
      <c r="C885" s="233"/>
      <c r="D885" s="234"/>
      <c r="E885" s="235"/>
      <c r="F885" s="235"/>
      <c r="G885" s="235"/>
      <c r="H885" s="235"/>
      <c r="I885" s="236"/>
      <c r="J885" s="280" t="s">
        <v>1168</v>
      </c>
      <c r="K885" s="281"/>
      <c r="L885" s="281"/>
    </row>
    <row r="886" spans="1:12" s="26" customFormat="1" ht="47.25" outlineLevel="1">
      <c r="A886" s="210" t="s">
        <v>355</v>
      </c>
      <c r="B886" s="239" t="s">
        <v>255</v>
      </c>
      <c r="C886" s="212" t="s">
        <v>226</v>
      </c>
      <c r="D886" s="213"/>
      <c r="E886" s="214"/>
      <c r="F886" s="214"/>
      <c r="G886" s="214"/>
      <c r="H886" s="214"/>
      <c r="I886" s="215">
        <f>SUM(I887:I893)</f>
        <v>4</v>
      </c>
      <c r="J886" s="280"/>
      <c r="K886" s="281"/>
      <c r="L886" s="281"/>
    </row>
    <row r="887" spans="1:12" s="26" customFormat="1" outlineLevel="1">
      <c r="A887" s="240"/>
      <c r="B887" s="241" t="s">
        <v>413</v>
      </c>
      <c r="C887" s="218"/>
      <c r="D887" s="219"/>
      <c r="E887" s="220"/>
      <c r="F887" s="220"/>
      <c r="G887" s="220"/>
      <c r="H887" s="220"/>
      <c r="I887" s="220"/>
      <c r="J887" s="280"/>
      <c r="K887" s="281"/>
      <c r="L887" s="281"/>
    </row>
    <row r="888" spans="1:12" outlineLevel="1">
      <c r="A888" s="240"/>
      <c r="B888" s="242" t="s">
        <v>423</v>
      </c>
      <c r="C888" s="218"/>
      <c r="D888" s="219">
        <v>1</v>
      </c>
      <c r="E888" s="220"/>
      <c r="F888" s="220"/>
      <c r="G888" s="220"/>
      <c r="H888" s="220"/>
      <c r="I888" s="220">
        <f>D888</f>
        <v>1</v>
      </c>
      <c r="J888" s="280" t="s">
        <v>1168</v>
      </c>
      <c r="K888" s="281"/>
      <c r="L888" s="281"/>
    </row>
    <row r="889" spans="1:12" s="26" customFormat="1" outlineLevel="1">
      <c r="A889" s="240"/>
      <c r="B889" s="242" t="s">
        <v>424</v>
      </c>
      <c r="C889" s="218"/>
      <c r="D889" s="219">
        <v>1</v>
      </c>
      <c r="E889" s="220"/>
      <c r="F889" s="220"/>
      <c r="G889" s="220"/>
      <c r="H889" s="220"/>
      <c r="I889" s="220">
        <f>D889</f>
        <v>1</v>
      </c>
      <c r="J889" s="280"/>
      <c r="K889" s="281"/>
      <c r="L889" s="281"/>
    </row>
    <row r="890" spans="1:12" s="26" customFormat="1" outlineLevel="1">
      <c r="A890" s="240"/>
      <c r="B890" s="241" t="s">
        <v>414</v>
      </c>
      <c r="C890" s="218"/>
      <c r="D890" s="219"/>
      <c r="E890" s="220"/>
      <c r="F890" s="220"/>
      <c r="G890" s="220"/>
      <c r="H890" s="220"/>
      <c r="I890" s="220"/>
      <c r="J890" s="280"/>
      <c r="K890" s="281"/>
      <c r="L890" s="281"/>
    </row>
    <row r="891" spans="1:12" s="26" customFormat="1" outlineLevel="1">
      <c r="A891" s="240"/>
      <c r="B891" s="242" t="s">
        <v>423</v>
      </c>
      <c r="C891" s="218"/>
      <c r="D891" s="219">
        <v>1</v>
      </c>
      <c r="E891" s="220"/>
      <c r="F891" s="220"/>
      <c r="G891" s="220"/>
      <c r="H891" s="220"/>
      <c r="I891" s="220">
        <f>D891</f>
        <v>1</v>
      </c>
      <c r="J891" s="280" t="s">
        <v>1168</v>
      </c>
      <c r="K891" s="281"/>
      <c r="L891" s="281"/>
    </row>
    <row r="892" spans="1:12" outlineLevel="1">
      <c r="A892" s="240"/>
      <c r="B892" s="242" t="s">
        <v>424</v>
      </c>
      <c r="C892" s="218"/>
      <c r="D892" s="219">
        <v>1</v>
      </c>
      <c r="E892" s="220"/>
      <c r="F892" s="220"/>
      <c r="G892" s="220"/>
      <c r="H892" s="220"/>
      <c r="I892" s="220">
        <f>D892</f>
        <v>1</v>
      </c>
      <c r="J892" s="280"/>
      <c r="K892" s="281"/>
      <c r="L892" s="281"/>
    </row>
    <row r="893" spans="1:12" outlineLevel="1">
      <c r="A893" s="278"/>
      <c r="B893" s="259"/>
      <c r="C893" s="223"/>
      <c r="D893" s="224"/>
      <c r="E893" s="225"/>
      <c r="F893" s="225"/>
      <c r="G893" s="225"/>
      <c r="H893" s="225"/>
      <c r="I893" s="225"/>
      <c r="J893" s="280"/>
      <c r="K893" s="281"/>
      <c r="L893" s="281"/>
    </row>
    <row r="894" spans="1:12" outlineLevel="1">
      <c r="A894" s="188" t="s">
        <v>356</v>
      </c>
      <c r="B894" s="189" t="s">
        <v>562</v>
      </c>
      <c r="C894" s="233"/>
      <c r="D894" s="234"/>
      <c r="E894" s="235"/>
      <c r="F894" s="235"/>
      <c r="G894" s="235"/>
      <c r="H894" s="235"/>
      <c r="I894" s="236"/>
      <c r="J894" s="280" t="s">
        <v>1168</v>
      </c>
      <c r="K894" s="281"/>
      <c r="L894" s="281"/>
    </row>
    <row r="895" spans="1:12" outlineLevel="1">
      <c r="A895" s="210" t="s">
        <v>357</v>
      </c>
      <c r="B895" s="211" t="s">
        <v>563</v>
      </c>
      <c r="C895" s="212" t="s">
        <v>8</v>
      </c>
      <c r="D895" s="213"/>
      <c r="E895" s="214"/>
      <c r="F895" s="214"/>
      <c r="G895" s="214"/>
      <c r="H895" s="214"/>
      <c r="I895" s="215">
        <f>SUM(I896:I898)</f>
        <v>1</v>
      </c>
      <c r="J895" s="280"/>
      <c r="K895" s="281"/>
      <c r="L895" s="281"/>
    </row>
    <row r="896" spans="1:12" outlineLevel="1">
      <c r="A896" s="216"/>
      <c r="B896" s="258" t="s">
        <v>413</v>
      </c>
      <c r="C896" s="218"/>
      <c r="D896" s="219"/>
      <c r="E896" s="220"/>
      <c r="F896" s="220"/>
      <c r="G896" s="220"/>
      <c r="H896" s="220"/>
      <c r="I896" s="220"/>
      <c r="J896" s="280"/>
      <c r="K896" s="281"/>
      <c r="L896" s="281"/>
    </row>
    <row r="897" spans="1:15" outlineLevel="1">
      <c r="A897" s="216"/>
      <c r="B897" s="217" t="s">
        <v>425</v>
      </c>
      <c r="C897" s="218" t="s">
        <v>8</v>
      </c>
      <c r="D897" s="219">
        <v>1</v>
      </c>
      <c r="E897" s="220"/>
      <c r="F897" s="220"/>
      <c r="G897" s="220"/>
      <c r="H897" s="220"/>
      <c r="I897" s="220">
        <f>D897</f>
        <v>1</v>
      </c>
      <c r="J897" s="280" t="s">
        <v>1168</v>
      </c>
      <c r="K897" s="281"/>
      <c r="L897" s="281"/>
    </row>
    <row r="898" spans="1:15" outlineLevel="1">
      <c r="A898" s="216"/>
      <c r="B898" s="217"/>
      <c r="C898" s="218"/>
      <c r="D898" s="219"/>
      <c r="E898" s="220"/>
      <c r="F898" s="220"/>
      <c r="G898" s="220"/>
      <c r="H898" s="220"/>
      <c r="I898" s="220"/>
      <c r="J898" s="280"/>
      <c r="K898" s="281"/>
      <c r="L898" s="281"/>
    </row>
    <row r="899" spans="1:15" outlineLevel="1">
      <c r="A899" s="210" t="s">
        <v>358</v>
      </c>
      <c r="B899" s="211" t="s">
        <v>564</v>
      </c>
      <c r="C899" s="212" t="s">
        <v>8</v>
      </c>
      <c r="D899" s="213"/>
      <c r="E899" s="214"/>
      <c r="F899" s="214"/>
      <c r="G899" s="214"/>
      <c r="H899" s="214"/>
      <c r="I899" s="215">
        <f>SUM(I900:I904)</f>
        <v>2</v>
      </c>
      <c r="J899" s="280"/>
      <c r="K899" s="281"/>
      <c r="L899" s="281"/>
    </row>
    <row r="900" spans="1:15" outlineLevel="1">
      <c r="A900" s="216"/>
      <c r="B900" s="258" t="s">
        <v>413</v>
      </c>
      <c r="C900" s="218"/>
      <c r="D900" s="219"/>
      <c r="E900" s="220"/>
      <c r="F900" s="220"/>
      <c r="G900" s="220"/>
      <c r="H900" s="220"/>
      <c r="I900" s="220"/>
      <c r="J900" s="280" t="s">
        <v>1168</v>
      </c>
      <c r="K900" s="281"/>
      <c r="L900" s="281"/>
    </row>
    <row r="901" spans="1:15" outlineLevel="1">
      <c r="A901" s="216"/>
      <c r="B901" s="217" t="s">
        <v>429</v>
      </c>
      <c r="C901" s="218" t="s">
        <v>8</v>
      </c>
      <c r="D901" s="219">
        <v>1</v>
      </c>
      <c r="E901" s="220"/>
      <c r="F901" s="220"/>
      <c r="G901" s="220"/>
      <c r="H901" s="220"/>
      <c r="I901" s="220">
        <f>D901</f>
        <v>1</v>
      </c>
      <c r="J901" s="280"/>
      <c r="K901" s="281"/>
      <c r="L901" s="281"/>
    </row>
    <row r="902" spans="1:15" outlineLevel="1">
      <c r="A902" s="216"/>
      <c r="B902" s="258" t="s">
        <v>414</v>
      </c>
      <c r="C902" s="218"/>
      <c r="D902" s="219"/>
      <c r="E902" s="220"/>
      <c r="F902" s="220"/>
      <c r="G902" s="220"/>
      <c r="H902" s="220"/>
      <c r="I902" s="220"/>
      <c r="J902" s="280"/>
      <c r="K902" s="281"/>
      <c r="L902" s="281"/>
    </row>
    <row r="903" spans="1:15" outlineLevel="1">
      <c r="A903" s="216"/>
      <c r="B903" s="217" t="s">
        <v>429</v>
      </c>
      <c r="C903" s="218" t="s">
        <v>8</v>
      </c>
      <c r="D903" s="219">
        <v>1</v>
      </c>
      <c r="E903" s="220"/>
      <c r="F903" s="220"/>
      <c r="G903" s="220"/>
      <c r="H903" s="220"/>
      <c r="I903" s="220">
        <f>D903</f>
        <v>1</v>
      </c>
      <c r="J903" s="280" t="s">
        <v>1168</v>
      </c>
      <c r="K903" s="281"/>
      <c r="L903" s="281"/>
    </row>
    <row r="904" spans="1:15" s="26" customFormat="1" outlineLevel="1">
      <c r="A904" s="221"/>
      <c r="B904" s="259"/>
      <c r="C904" s="223"/>
      <c r="D904" s="224"/>
      <c r="E904" s="225"/>
      <c r="F904" s="225"/>
      <c r="G904" s="225"/>
      <c r="H904" s="225"/>
      <c r="I904" s="225"/>
      <c r="J904" s="280"/>
      <c r="K904" s="281"/>
      <c r="L904" s="281"/>
    </row>
    <row r="905" spans="1:15" outlineLevel="1">
      <c r="A905" s="188" t="s">
        <v>397</v>
      </c>
      <c r="B905" s="189" t="s">
        <v>565</v>
      </c>
      <c r="C905" s="233"/>
      <c r="D905" s="234"/>
      <c r="E905" s="235"/>
      <c r="F905" s="235"/>
      <c r="G905" s="235"/>
      <c r="H905" s="235"/>
      <c r="I905" s="236"/>
      <c r="J905" s="280"/>
      <c r="K905" s="281"/>
      <c r="L905" s="281"/>
    </row>
    <row r="906" spans="1:15" ht="31.5" outlineLevel="1">
      <c r="A906" s="210" t="s">
        <v>398</v>
      </c>
      <c r="B906" s="211" t="s">
        <v>566</v>
      </c>
      <c r="C906" s="212" t="s">
        <v>226</v>
      </c>
      <c r="D906" s="213"/>
      <c r="E906" s="214"/>
      <c r="F906" s="214"/>
      <c r="G906" s="214"/>
      <c r="H906" s="214"/>
      <c r="I906" s="215">
        <f>SUM(I908:I911)</f>
        <v>2</v>
      </c>
      <c r="J906" s="280" t="s">
        <v>1168</v>
      </c>
      <c r="K906" s="281"/>
      <c r="L906" s="281"/>
    </row>
    <row r="907" spans="1:15" outlineLevel="1">
      <c r="A907" s="216"/>
      <c r="B907" s="258" t="s">
        <v>413</v>
      </c>
      <c r="C907" s="218"/>
      <c r="D907" s="219"/>
      <c r="E907" s="220"/>
      <c r="F907" s="220"/>
      <c r="G907" s="220"/>
      <c r="H907" s="220"/>
      <c r="I907" s="220"/>
      <c r="J907" s="280"/>
      <c r="K907" s="281"/>
      <c r="L907" s="281"/>
    </row>
    <row r="908" spans="1:15" outlineLevel="1">
      <c r="A908" s="216"/>
      <c r="B908" s="217" t="s">
        <v>420</v>
      </c>
      <c r="C908" s="218"/>
      <c r="D908" s="219">
        <v>1</v>
      </c>
      <c r="E908" s="220"/>
      <c r="F908" s="220"/>
      <c r="G908" s="220"/>
      <c r="H908" s="220"/>
      <c r="I908" s="220">
        <f>D908</f>
        <v>1</v>
      </c>
      <c r="J908" s="280"/>
      <c r="K908" s="281"/>
      <c r="L908" s="281"/>
    </row>
    <row r="909" spans="1:15" outlineLevel="1">
      <c r="A909" s="216"/>
      <c r="B909" s="258" t="s">
        <v>414</v>
      </c>
      <c r="C909" s="218"/>
      <c r="D909" s="219"/>
      <c r="E909" s="220"/>
      <c r="F909" s="220"/>
      <c r="G909" s="220"/>
      <c r="H909" s="220"/>
      <c r="I909" s="220"/>
      <c r="J909" s="280" t="s">
        <v>1168</v>
      </c>
      <c r="K909" s="281"/>
      <c r="L909" s="281"/>
    </row>
    <row r="910" spans="1:15" outlineLevel="1">
      <c r="A910" s="216"/>
      <c r="B910" s="217" t="s">
        <v>431</v>
      </c>
      <c r="C910" s="218"/>
      <c r="D910" s="219">
        <v>1</v>
      </c>
      <c r="E910" s="220"/>
      <c r="F910" s="220"/>
      <c r="G910" s="220"/>
      <c r="H910" s="220"/>
      <c r="I910" s="220">
        <f>D910</f>
        <v>1</v>
      </c>
      <c r="J910" s="280"/>
      <c r="K910" s="281"/>
      <c r="L910" s="281"/>
    </row>
    <row r="911" spans="1:15" outlineLevel="1">
      <c r="A911" s="221"/>
      <c r="B911" s="222"/>
      <c r="C911" s="223"/>
      <c r="D911" s="224"/>
      <c r="E911" s="225"/>
      <c r="F911" s="224"/>
      <c r="G911" s="225"/>
      <c r="H911" s="225"/>
      <c r="I911" s="225"/>
      <c r="J911" s="280"/>
      <c r="K911" s="281"/>
      <c r="L911" s="281"/>
    </row>
    <row r="912" spans="1:15">
      <c r="A912" s="227" t="s">
        <v>116</v>
      </c>
      <c r="B912" s="228" t="s">
        <v>567</v>
      </c>
      <c r="C912" s="229"/>
      <c r="D912" s="230"/>
      <c r="E912" s="231"/>
      <c r="F912" s="231"/>
      <c r="G912" s="231"/>
      <c r="H912" s="231"/>
      <c r="I912" s="232"/>
      <c r="J912" s="280" t="s">
        <v>1168</v>
      </c>
      <c r="K912" s="281"/>
      <c r="L912" s="281"/>
      <c r="M912" s="26"/>
      <c r="N912" s="26"/>
      <c r="O912" s="26"/>
    </row>
    <row r="913" spans="1:15" ht="47.25" outlineLevel="1">
      <c r="A913" s="210" t="s">
        <v>154</v>
      </c>
      <c r="B913" s="239" t="s">
        <v>245</v>
      </c>
      <c r="C913" s="243" t="s">
        <v>5</v>
      </c>
      <c r="D913" s="213"/>
      <c r="E913" s="214"/>
      <c r="F913" s="214"/>
      <c r="G913" s="214"/>
      <c r="H913" s="214"/>
      <c r="I913" s="215">
        <f>SUM(I914:I917)</f>
        <v>2.33</v>
      </c>
      <c r="J913" s="280"/>
      <c r="K913" s="281"/>
      <c r="L913" s="281"/>
    </row>
    <row r="914" spans="1:15" outlineLevel="1">
      <c r="A914" s="240"/>
      <c r="B914" s="241" t="s">
        <v>414</v>
      </c>
      <c r="C914" s="245"/>
      <c r="D914" s="219"/>
      <c r="E914" s="220"/>
      <c r="F914" s="220"/>
      <c r="G914" s="220"/>
      <c r="H914" s="220"/>
      <c r="I914" s="220"/>
      <c r="J914" s="280"/>
      <c r="K914" s="281"/>
      <c r="L914" s="281"/>
    </row>
    <row r="915" spans="1:15" outlineLevel="1">
      <c r="A915" s="240"/>
      <c r="B915" s="242" t="s">
        <v>473</v>
      </c>
      <c r="C915" s="245"/>
      <c r="D915" s="219"/>
      <c r="E915" s="220"/>
      <c r="F915" s="220">
        <v>1.31</v>
      </c>
      <c r="G915" s="220"/>
      <c r="H915" s="220"/>
      <c r="I915" s="220">
        <f>F915</f>
        <v>1.31</v>
      </c>
      <c r="J915" s="280" t="s">
        <v>1168</v>
      </c>
      <c r="K915" s="281"/>
      <c r="L915" s="281"/>
    </row>
    <row r="916" spans="1:15" outlineLevel="1">
      <c r="A916" s="240"/>
      <c r="B916" s="242" t="s">
        <v>473</v>
      </c>
      <c r="C916" s="245"/>
      <c r="D916" s="219"/>
      <c r="E916" s="220"/>
      <c r="F916" s="220">
        <v>1.02</v>
      </c>
      <c r="G916" s="220"/>
      <c r="H916" s="220"/>
      <c r="I916" s="220">
        <f>F916</f>
        <v>1.02</v>
      </c>
      <c r="J916" s="280"/>
      <c r="K916" s="281"/>
      <c r="L916" s="281"/>
    </row>
    <row r="917" spans="1:15" outlineLevel="1">
      <c r="A917" s="240"/>
      <c r="B917" s="242"/>
      <c r="C917" s="245"/>
      <c r="D917" s="219"/>
      <c r="E917" s="220"/>
      <c r="F917" s="220"/>
      <c r="G917" s="220"/>
      <c r="H917" s="220"/>
      <c r="I917" s="220"/>
      <c r="J917" s="280"/>
      <c r="K917" s="281"/>
      <c r="L917" s="281"/>
    </row>
    <row r="918" spans="1:15">
      <c r="A918" s="227" t="s">
        <v>117</v>
      </c>
      <c r="B918" s="228" t="s">
        <v>568</v>
      </c>
      <c r="C918" s="229"/>
      <c r="D918" s="230"/>
      <c r="E918" s="231"/>
      <c r="F918" s="231"/>
      <c r="G918" s="231"/>
      <c r="H918" s="231"/>
      <c r="I918" s="232"/>
      <c r="J918" s="280" t="s">
        <v>1168</v>
      </c>
      <c r="K918" s="281"/>
      <c r="L918" s="281"/>
      <c r="M918" s="26"/>
      <c r="N918" s="26"/>
      <c r="O918" s="26"/>
    </row>
    <row r="919" spans="1:15" outlineLevel="1">
      <c r="A919" s="188" t="s">
        <v>165</v>
      </c>
      <c r="B919" s="189" t="s">
        <v>659</v>
      </c>
      <c r="C919" s="233"/>
      <c r="D919" s="234"/>
      <c r="E919" s="235"/>
      <c r="F919" s="235"/>
      <c r="G919" s="235"/>
      <c r="H919" s="235"/>
      <c r="I919" s="236"/>
      <c r="J919" s="280"/>
      <c r="K919" s="281"/>
      <c r="L919" s="281"/>
    </row>
    <row r="920" spans="1:15" ht="63" outlineLevel="1">
      <c r="A920" s="210" t="s">
        <v>363</v>
      </c>
      <c r="B920" s="239" t="s">
        <v>243</v>
      </c>
      <c r="C920" s="243" t="s">
        <v>4</v>
      </c>
      <c r="D920" s="244"/>
      <c r="E920" s="264"/>
      <c r="F920" s="214"/>
      <c r="G920" s="214"/>
      <c r="H920" s="214"/>
      <c r="I920" s="215">
        <f>SUM(I921:I924)</f>
        <v>17.344799999999999</v>
      </c>
      <c r="J920" s="280"/>
      <c r="K920" s="281"/>
      <c r="L920" s="281"/>
    </row>
    <row r="921" spans="1:15" outlineLevel="1">
      <c r="A921" s="240"/>
      <c r="B921" s="241" t="s">
        <v>414</v>
      </c>
      <c r="C921" s="245"/>
      <c r="D921" s="246"/>
      <c r="E921" s="251"/>
      <c r="F921" s="220"/>
      <c r="G921" s="220"/>
      <c r="H921" s="220"/>
      <c r="I921" s="220"/>
      <c r="J921" s="280" t="s">
        <v>1168</v>
      </c>
      <c r="K921" s="281"/>
      <c r="L921" s="281"/>
    </row>
    <row r="922" spans="1:15" outlineLevel="1">
      <c r="A922" s="240"/>
      <c r="B922" s="242" t="s">
        <v>420</v>
      </c>
      <c r="C922" s="245"/>
      <c r="D922" s="246"/>
      <c r="E922" s="251"/>
      <c r="F922" s="220">
        <v>2.94</v>
      </c>
      <c r="G922" s="220"/>
      <c r="H922" s="220">
        <v>2.97</v>
      </c>
      <c r="I922" s="220">
        <f>F922*H922</f>
        <v>8.7317999999999998</v>
      </c>
      <c r="J922" s="280"/>
      <c r="K922" s="281"/>
      <c r="L922" s="281"/>
    </row>
    <row r="923" spans="1:15" outlineLevel="1">
      <c r="A923" s="240"/>
      <c r="B923" s="242" t="s">
        <v>420</v>
      </c>
      <c r="C923" s="245"/>
      <c r="D923" s="246"/>
      <c r="E923" s="251"/>
      <c r="F923" s="220">
        <v>2.9</v>
      </c>
      <c r="G923" s="220"/>
      <c r="H923" s="220">
        <v>2.97</v>
      </c>
      <c r="I923" s="220">
        <f>F923*H923</f>
        <v>8.6129999999999995</v>
      </c>
      <c r="J923" s="280"/>
      <c r="K923" s="281"/>
      <c r="L923" s="281"/>
    </row>
    <row r="924" spans="1:15" outlineLevel="1">
      <c r="A924" s="240"/>
      <c r="B924" s="242"/>
      <c r="C924" s="245"/>
      <c r="D924" s="246"/>
      <c r="E924" s="251"/>
      <c r="F924" s="220"/>
      <c r="G924" s="220"/>
      <c r="H924" s="220"/>
      <c r="I924" s="220"/>
      <c r="J924" s="280" t="s">
        <v>1168</v>
      </c>
      <c r="K924" s="281"/>
      <c r="L924" s="281"/>
    </row>
    <row r="925" spans="1:15" ht="63" outlineLevel="1">
      <c r="A925" s="210" t="s">
        <v>364</v>
      </c>
      <c r="B925" s="239" t="s">
        <v>244</v>
      </c>
      <c r="C925" s="243" t="s">
        <v>4</v>
      </c>
      <c r="D925" s="244"/>
      <c r="E925" s="264"/>
      <c r="F925" s="214"/>
      <c r="G925" s="214"/>
      <c r="H925" s="214"/>
      <c r="I925" s="215">
        <f>SUM(I926:I928)</f>
        <v>7.3953000000000015</v>
      </c>
      <c r="J925" s="280"/>
      <c r="K925" s="281"/>
      <c r="L925" s="281"/>
    </row>
    <row r="926" spans="1:15" outlineLevel="1">
      <c r="A926" s="240"/>
      <c r="B926" s="241" t="s">
        <v>412</v>
      </c>
      <c r="C926" s="245"/>
      <c r="D926" s="246"/>
      <c r="E926" s="251"/>
      <c r="F926" s="220"/>
      <c r="G926" s="220"/>
      <c r="H926" s="220"/>
      <c r="I926" s="220"/>
      <c r="J926" s="280"/>
      <c r="K926" s="281"/>
      <c r="L926" s="281"/>
    </row>
    <row r="927" spans="1:15" outlineLevel="1">
      <c r="A927" s="240"/>
      <c r="B927" s="242" t="s">
        <v>469</v>
      </c>
      <c r="C927" s="245"/>
      <c r="D927" s="246"/>
      <c r="E927" s="251"/>
      <c r="F927" s="220">
        <v>2.4900000000000002</v>
      </c>
      <c r="G927" s="220"/>
      <c r="H927" s="220">
        <v>2.97</v>
      </c>
      <c r="I927" s="220">
        <f>F927*H927</f>
        <v>7.3953000000000015</v>
      </c>
      <c r="J927" s="280" t="s">
        <v>1168</v>
      </c>
      <c r="K927" s="281"/>
      <c r="L927" s="281"/>
    </row>
    <row r="928" spans="1:15" outlineLevel="1">
      <c r="A928" s="240"/>
      <c r="B928" s="242"/>
      <c r="C928" s="245"/>
      <c r="D928" s="246"/>
      <c r="E928" s="251"/>
      <c r="F928" s="220"/>
      <c r="G928" s="220"/>
      <c r="H928" s="220"/>
      <c r="I928" s="220"/>
      <c r="J928" s="280"/>
      <c r="K928" s="281"/>
      <c r="L928" s="281"/>
    </row>
    <row r="929" spans="1:12" outlineLevel="1">
      <c r="A929" s="188" t="s">
        <v>183</v>
      </c>
      <c r="B929" s="189" t="s">
        <v>569</v>
      </c>
      <c r="C929" s="233"/>
      <c r="D929" s="234"/>
      <c r="E929" s="235"/>
      <c r="F929" s="235"/>
      <c r="G929" s="235"/>
      <c r="H929" s="235"/>
      <c r="I929" s="236"/>
      <c r="J929" s="280"/>
      <c r="K929" s="281"/>
      <c r="L929" s="281"/>
    </row>
    <row r="930" spans="1:12" ht="63" outlineLevel="1">
      <c r="A930" s="210" t="s">
        <v>365</v>
      </c>
      <c r="B930" s="211" t="s">
        <v>256</v>
      </c>
      <c r="C930" s="212" t="s">
        <v>226</v>
      </c>
      <c r="D930" s="213"/>
      <c r="E930" s="214"/>
      <c r="F930" s="214"/>
      <c r="G930" s="214"/>
      <c r="H930" s="214"/>
      <c r="I930" s="215">
        <f>SUM(I931:I933)</f>
        <v>1</v>
      </c>
      <c r="J930" s="280" t="s">
        <v>1168</v>
      </c>
      <c r="K930" s="281"/>
      <c r="L930" s="281"/>
    </row>
    <row r="931" spans="1:12" outlineLevel="1">
      <c r="A931" s="240"/>
      <c r="B931" s="241" t="s">
        <v>412</v>
      </c>
      <c r="C931" s="218"/>
      <c r="D931" s="219"/>
      <c r="E931" s="220"/>
      <c r="F931" s="220"/>
      <c r="G931" s="220"/>
      <c r="H931" s="220"/>
      <c r="I931" s="220"/>
      <c r="J931" s="280"/>
      <c r="K931" s="281"/>
      <c r="L931" s="281"/>
    </row>
    <row r="932" spans="1:12" outlineLevel="1">
      <c r="A932" s="240"/>
      <c r="B932" s="242" t="s">
        <v>469</v>
      </c>
      <c r="C932" s="218"/>
      <c r="D932" s="219">
        <v>1</v>
      </c>
      <c r="E932" s="220"/>
      <c r="F932" s="220"/>
      <c r="G932" s="220"/>
      <c r="H932" s="220"/>
      <c r="I932" s="220">
        <f>D932</f>
        <v>1</v>
      </c>
      <c r="J932" s="280"/>
      <c r="K932" s="281"/>
      <c r="L932" s="281"/>
    </row>
    <row r="933" spans="1:12" outlineLevel="1">
      <c r="A933" s="278"/>
      <c r="B933" s="259"/>
      <c r="C933" s="223"/>
      <c r="D933" s="224"/>
      <c r="E933" s="225"/>
      <c r="F933" s="225"/>
      <c r="G933" s="225"/>
      <c r="H933" s="225"/>
      <c r="I933" s="225"/>
      <c r="J933" s="280" t="s">
        <v>1168</v>
      </c>
      <c r="K933" s="281"/>
      <c r="L933" s="281"/>
    </row>
    <row r="934" spans="1:12" ht="47.25" outlineLevel="1">
      <c r="A934" s="210" t="s">
        <v>366</v>
      </c>
      <c r="B934" s="211" t="s">
        <v>257</v>
      </c>
      <c r="C934" s="212" t="s">
        <v>226</v>
      </c>
      <c r="D934" s="213"/>
      <c r="E934" s="214"/>
      <c r="F934" s="214"/>
      <c r="G934" s="214"/>
      <c r="H934" s="214"/>
      <c r="I934" s="215">
        <f>SUM(I935:I937)</f>
        <v>2</v>
      </c>
      <c r="J934" s="280"/>
      <c r="K934" s="281"/>
      <c r="L934" s="281"/>
    </row>
    <row r="935" spans="1:12" outlineLevel="1">
      <c r="A935" s="240"/>
      <c r="B935" s="258" t="s">
        <v>414</v>
      </c>
      <c r="C935" s="218"/>
      <c r="D935" s="219"/>
      <c r="E935" s="220"/>
      <c r="F935" s="220"/>
      <c r="G935" s="220"/>
      <c r="H935" s="220"/>
      <c r="I935" s="220"/>
      <c r="J935" s="280"/>
      <c r="K935" s="281"/>
      <c r="L935" s="281"/>
    </row>
    <row r="936" spans="1:12" outlineLevel="1">
      <c r="A936" s="240"/>
      <c r="B936" s="217" t="s">
        <v>570</v>
      </c>
      <c r="C936" s="218"/>
      <c r="D936" s="219">
        <v>2</v>
      </c>
      <c r="E936" s="220"/>
      <c r="F936" s="220"/>
      <c r="G936" s="220"/>
      <c r="H936" s="220"/>
      <c r="I936" s="220">
        <f>D936</f>
        <v>2</v>
      </c>
      <c r="J936" s="280" t="s">
        <v>1168</v>
      </c>
      <c r="K936" s="281"/>
      <c r="L936" s="281"/>
    </row>
    <row r="937" spans="1:12" outlineLevel="1">
      <c r="A937" s="278"/>
      <c r="B937" s="259"/>
      <c r="C937" s="223"/>
      <c r="D937" s="224"/>
      <c r="E937" s="225"/>
      <c r="F937" s="225"/>
      <c r="G937" s="225"/>
      <c r="H937" s="225"/>
      <c r="I937" s="225"/>
      <c r="J937" s="280"/>
      <c r="K937" s="281"/>
      <c r="L937" s="281"/>
    </row>
    <row r="938" spans="1:12" outlineLevel="1">
      <c r="A938" s="188" t="s">
        <v>641</v>
      </c>
      <c r="B938" s="189" t="s">
        <v>643</v>
      </c>
      <c r="C938" s="233"/>
      <c r="D938" s="234"/>
      <c r="E938" s="235"/>
      <c r="F938" s="235"/>
      <c r="G938" s="235"/>
      <c r="H938" s="235"/>
      <c r="I938" s="236"/>
      <c r="J938" s="280"/>
      <c r="K938" s="281"/>
      <c r="L938" s="281"/>
    </row>
    <row r="939" spans="1:12" ht="31.5" outlineLevel="1">
      <c r="A939" s="210" t="s">
        <v>642</v>
      </c>
      <c r="B939" s="239" t="s">
        <v>664</v>
      </c>
      <c r="C939" s="212" t="s">
        <v>4</v>
      </c>
      <c r="D939" s="213"/>
      <c r="E939" s="214"/>
      <c r="F939" s="214"/>
      <c r="G939" s="214"/>
      <c r="H939" s="214"/>
      <c r="I939" s="215">
        <f>SUM(I940:I944)</f>
        <v>18.176400000000001</v>
      </c>
      <c r="J939" s="280" t="s">
        <v>1168</v>
      </c>
      <c r="K939" s="281"/>
      <c r="L939" s="281"/>
    </row>
    <row r="940" spans="1:12" s="26" customFormat="1" outlineLevel="1">
      <c r="A940" s="240"/>
      <c r="B940" s="241" t="s">
        <v>413</v>
      </c>
      <c r="C940" s="245"/>
      <c r="D940" s="246"/>
      <c r="E940" s="220"/>
      <c r="F940" s="220"/>
      <c r="G940" s="220"/>
      <c r="H940" s="220"/>
      <c r="I940" s="220"/>
      <c r="J940" s="280"/>
      <c r="K940" s="281"/>
      <c r="L940" s="281"/>
    </row>
    <row r="941" spans="1:12" s="26" customFormat="1" outlineLevel="1">
      <c r="A941" s="240"/>
      <c r="B941" s="242" t="s">
        <v>420</v>
      </c>
      <c r="C941" s="245"/>
      <c r="D941" s="246"/>
      <c r="E941" s="220">
        <f t="shared" ref="E941:E943" si="35">F941*H941</f>
        <v>12.058199999999999</v>
      </c>
      <c r="F941" s="220">
        <v>4.0599999999999996</v>
      </c>
      <c r="G941" s="220"/>
      <c r="H941" s="220">
        <v>2.97</v>
      </c>
      <c r="I941" s="220">
        <f t="shared" ref="I941:I943" si="36">E941</f>
        <v>12.058199999999999</v>
      </c>
      <c r="J941" s="280"/>
      <c r="K941" s="281"/>
      <c r="L941" s="281"/>
    </row>
    <row r="942" spans="1:12" s="26" customFormat="1" outlineLevel="1">
      <c r="A942" s="240"/>
      <c r="B942" s="242" t="s">
        <v>420</v>
      </c>
      <c r="C942" s="245"/>
      <c r="D942" s="246"/>
      <c r="E942" s="220">
        <f t="shared" si="35"/>
        <v>0.41580000000000006</v>
      </c>
      <c r="F942" s="220">
        <v>0.14000000000000001</v>
      </c>
      <c r="G942" s="220"/>
      <c r="H942" s="220">
        <v>2.97</v>
      </c>
      <c r="I942" s="220">
        <f t="shared" si="36"/>
        <v>0.41580000000000006</v>
      </c>
      <c r="J942" s="280" t="s">
        <v>1168</v>
      </c>
      <c r="K942" s="281"/>
      <c r="L942" s="281"/>
    </row>
    <row r="943" spans="1:12" s="26" customFormat="1" outlineLevel="1">
      <c r="A943" s="240"/>
      <c r="B943" s="242" t="s">
        <v>425</v>
      </c>
      <c r="C943" s="245"/>
      <c r="D943" s="246"/>
      <c r="E943" s="220">
        <f t="shared" si="35"/>
        <v>5.7023999999999999</v>
      </c>
      <c r="F943" s="220">
        <v>1.92</v>
      </c>
      <c r="G943" s="220"/>
      <c r="H943" s="220">
        <v>2.97</v>
      </c>
      <c r="I943" s="220">
        <f t="shared" si="36"/>
        <v>5.7023999999999999</v>
      </c>
      <c r="J943" s="280"/>
      <c r="K943" s="281"/>
      <c r="L943" s="281"/>
    </row>
    <row r="944" spans="1:12" outlineLevel="1">
      <c r="A944" s="240"/>
      <c r="B944" s="242"/>
      <c r="C944" s="245"/>
      <c r="D944" s="246"/>
      <c r="E944" s="220"/>
      <c r="F944" s="220"/>
      <c r="G944" s="220"/>
      <c r="H944" s="220"/>
      <c r="I944" s="220"/>
      <c r="J944" s="280"/>
      <c r="K944" s="281"/>
      <c r="L944" s="281"/>
    </row>
    <row r="945" spans="1:15" ht="63" outlineLevel="1">
      <c r="A945" s="210" t="s">
        <v>642</v>
      </c>
      <c r="B945" s="239" t="s">
        <v>665</v>
      </c>
      <c r="C945" s="212" t="s">
        <v>4</v>
      </c>
      <c r="D945" s="213"/>
      <c r="E945" s="214"/>
      <c r="F945" s="214"/>
      <c r="G945" s="214"/>
      <c r="H945" s="214"/>
      <c r="I945" s="215">
        <f>SUM(I946:I948)</f>
        <v>7.4844000000000008</v>
      </c>
      <c r="J945" s="280" t="s">
        <v>1168</v>
      </c>
      <c r="K945" s="281"/>
      <c r="L945" s="281"/>
    </row>
    <row r="946" spans="1:15" s="26" customFormat="1" outlineLevel="1">
      <c r="A946" s="240"/>
      <c r="B946" s="241" t="s">
        <v>414</v>
      </c>
      <c r="C946" s="245"/>
      <c r="D946" s="246"/>
      <c r="E946" s="220"/>
      <c r="F946" s="220"/>
      <c r="G946" s="220"/>
      <c r="H946" s="220"/>
      <c r="I946" s="220"/>
      <c r="J946" s="280"/>
      <c r="K946" s="281"/>
      <c r="L946" s="281"/>
    </row>
    <row r="947" spans="1:15" s="26" customFormat="1" outlineLevel="1">
      <c r="A947" s="240"/>
      <c r="B947" s="242" t="s">
        <v>420</v>
      </c>
      <c r="C947" s="245"/>
      <c r="D947" s="219"/>
      <c r="E947" s="220">
        <f>F947*H947</f>
        <v>7.4844000000000008</v>
      </c>
      <c r="F947" s="220">
        <v>2.52</v>
      </c>
      <c r="G947" s="220"/>
      <c r="H947" s="220">
        <v>2.97</v>
      </c>
      <c r="I947" s="220">
        <f>E947</f>
        <v>7.4844000000000008</v>
      </c>
      <c r="J947" s="280"/>
      <c r="K947" s="281"/>
      <c r="L947" s="281"/>
    </row>
    <row r="948" spans="1:15" outlineLevel="1">
      <c r="A948" s="240"/>
      <c r="B948" s="242"/>
      <c r="C948" s="245"/>
      <c r="D948" s="246"/>
      <c r="E948" s="220"/>
      <c r="F948" s="220"/>
      <c r="G948" s="220"/>
      <c r="H948" s="220"/>
      <c r="I948" s="220"/>
      <c r="J948" s="280" t="s">
        <v>1168</v>
      </c>
      <c r="K948" s="281"/>
      <c r="L948" s="281"/>
    </row>
    <row r="949" spans="1:15">
      <c r="A949" s="227" t="s">
        <v>160</v>
      </c>
      <c r="B949" s="228" t="s">
        <v>265</v>
      </c>
      <c r="C949" s="229"/>
      <c r="D949" s="230"/>
      <c r="E949" s="231"/>
      <c r="F949" s="231"/>
      <c r="G949" s="231"/>
      <c r="H949" s="231"/>
      <c r="I949" s="232"/>
      <c r="J949" s="280"/>
      <c r="K949" s="281"/>
      <c r="L949" s="281"/>
      <c r="M949" s="26"/>
      <c r="N949" s="26"/>
      <c r="O949" s="26"/>
    </row>
    <row r="950" spans="1:15" outlineLevel="1">
      <c r="A950" s="188" t="s">
        <v>161</v>
      </c>
      <c r="B950" s="189" t="s">
        <v>607</v>
      </c>
      <c r="C950" s="233"/>
      <c r="D950" s="234"/>
      <c r="E950" s="235"/>
      <c r="F950" s="235"/>
      <c r="G950" s="235"/>
      <c r="H950" s="235"/>
      <c r="I950" s="236"/>
      <c r="J950" s="280"/>
      <c r="K950" s="281"/>
      <c r="L950" s="281"/>
    </row>
    <row r="951" spans="1:15" ht="78.75" outlineLevel="1">
      <c r="A951" s="210" t="s">
        <v>301</v>
      </c>
      <c r="B951" s="239" t="s">
        <v>370</v>
      </c>
      <c r="C951" s="243" t="s">
        <v>226</v>
      </c>
      <c r="D951" s="213"/>
      <c r="E951" s="214"/>
      <c r="F951" s="214"/>
      <c r="G951" s="214"/>
      <c r="H951" s="214"/>
      <c r="I951" s="215">
        <f>SUM(I952:I955)</f>
        <v>2</v>
      </c>
      <c r="J951" s="280" t="s">
        <v>1168</v>
      </c>
      <c r="K951" s="281"/>
      <c r="L951" s="281"/>
    </row>
    <row r="952" spans="1:15" outlineLevel="1">
      <c r="A952" s="240"/>
      <c r="B952" s="241" t="s">
        <v>411</v>
      </c>
      <c r="C952" s="245"/>
      <c r="D952" s="219"/>
      <c r="E952" s="220"/>
      <c r="F952" s="220"/>
      <c r="G952" s="220"/>
      <c r="H952" s="220"/>
      <c r="I952" s="220"/>
      <c r="J952" s="280"/>
      <c r="K952" s="281"/>
      <c r="L952" s="281"/>
    </row>
    <row r="953" spans="1:15" outlineLevel="1">
      <c r="A953" s="240"/>
      <c r="B953" s="242" t="s">
        <v>605</v>
      </c>
      <c r="C953" s="245"/>
      <c r="D953" s="219">
        <v>1</v>
      </c>
      <c r="E953" s="220"/>
      <c r="F953" s="220"/>
      <c r="G953" s="220"/>
      <c r="H953" s="220"/>
      <c r="I953" s="220">
        <f>D953</f>
        <v>1</v>
      </c>
      <c r="J953" s="280"/>
      <c r="K953" s="281"/>
      <c r="L953" s="281"/>
    </row>
    <row r="954" spans="1:15" outlineLevel="1">
      <c r="A954" s="240"/>
      <c r="B954" s="242" t="s">
        <v>606</v>
      </c>
      <c r="C954" s="245"/>
      <c r="D954" s="219">
        <v>1</v>
      </c>
      <c r="E954" s="220"/>
      <c r="F954" s="220"/>
      <c r="G954" s="220"/>
      <c r="H954" s="220"/>
      <c r="I954" s="220">
        <f>D954</f>
        <v>1</v>
      </c>
      <c r="J954" s="280" t="s">
        <v>1168</v>
      </c>
      <c r="K954" s="281"/>
      <c r="L954" s="281"/>
    </row>
    <row r="955" spans="1:15" outlineLevel="1">
      <c r="A955" s="252"/>
      <c r="B955" s="267"/>
      <c r="C955" s="254"/>
      <c r="D955" s="224"/>
      <c r="E955" s="225"/>
      <c r="F955" s="224"/>
      <c r="G955" s="225"/>
      <c r="H955" s="225"/>
      <c r="I955" s="225"/>
      <c r="J955" s="280"/>
      <c r="K955" s="281"/>
      <c r="L955" s="281"/>
    </row>
    <row r="956" spans="1:15" ht="78.75" outlineLevel="1">
      <c r="A956" s="210" t="s">
        <v>603</v>
      </c>
      <c r="B956" s="239" t="s">
        <v>375</v>
      </c>
      <c r="C956" s="212" t="s">
        <v>226</v>
      </c>
      <c r="D956" s="213"/>
      <c r="E956" s="214"/>
      <c r="F956" s="214"/>
      <c r="G956" s="214"/>
      <c r="H956" s="214"/>
      <c r="I956" s="215">
        <f>SUM(I957:I959)</f>
        <v>1</v>
      </c>
      <c r="J956" s="280"/>
      <c r="K956" s="281"/>
      <c r="L956" s="281"/>
    </row>
    <row r="957" spans="1:15" outlineLevel="1">
      <c r="A957" s="240"/>
      <c r="B957" s="241" t="s">
        <v>411</v>
      </c>
      <c r="C957" s="218"/>
      <c r="D957" s="219"/>
      <c r="E957" s="220"/>
      <c r="F957" s="220"/>
      <c r="G957" s="220"/>
      <c r="H957" s="220"/>
      <c r="I957" s="220"/>
      <c r="J957" s="280" t="s">
        <v>1168</v>
      </c>
      <c r="K957" s="281"/>
      <c r="L957" s="281"/>
    </row>
    <row r="958" spans="1:15" outlineLevel="1">
      <c r="A958" s="240"/>
      <c r="B958" s="242" t="s">
        <v>605</v>
      </c>
      <c r="C958" s="218"/>
      <c r="D958" s="219">
        <v>1</v>
      </c>
      <c r="E958" s="220"/>
      <c r="F958" s="220"/>
      <c r="G958" s="220"/>
      <c r="H958" s="220"/>
      <c r="I958" s="220">
        <f>D958</f>
        <v>1</v>
      </c>
      <c r="J958" s="280"/>
      <c r="K958" s="281"/>
      <c r="L958" s="281"/>
    </row>
    <row r="959" spans="1:15" outlineLevel="1">
      <c r="A959" s="252"/>
      <c r="B959" s="267"/>
      <c r="C959" s="223"/>
      <c r="D959" s="224"/>
      <c r="E959" s="225"/>
      <c r="F959" s="224"/>
      <c r="G959" s="225"/>
      <c r="H959" s="225"/>
      <c r="I959" s="225"/>
      <c r="J959" s="280"/>
      <c r="K959" s="281"/>
      <c r="L959" s="281"/>
    </row>
    <row r="960" spans="1:15" ht="78.75" outlineLevel="1">
      <c r="A960" s="210" t="s">
        <v>604</v>
      </c>
      <c r="B960" s="239" t="s">
        <v>376</v>
      </c>
      <c r="C960" s="243" t="s">
        <v>226</v>
      </c>
      <c r="D960" s="213"/>
      <c r="E960" s="214"/>
      <c r="F960" s="214"/>
      <c r="G960" s="214"/>
      <c r="H960" s="214"/>
      <c r="I960" s="215">
        <f>SUM(I961:I963)</f>
        <v>1</v>
      </c>
      <c r="J960" s="280" t="s">
        <v>1168</v>
      </c>
      <c r="K960" s="281"/>
      <c r="L960" s="281"/>
    </row>
    <row r="961" spans="1:12" outlineLevel="1">
      <c r="A961" s="240"/>
      <c r="B961" s="241" t="s">
        <v>411</v>
      </c>
      <c r="C961" s="245"/>
      <c r="D961" s="219"/>
      <c r="E961" s="220"/>
      <c r="F961" s="220"/>
      <c r="G961" s="220"/>
      <c r="H961" s="220"/>
      <c r="I961" s="220"/>
      <c r="J961" s="280"/>
      <c r="K961" s="281"/>
      <c r="L961" s="281"/>
    </row>
    <row r="962" spans="1:12" outlineLevel="1">
      <c r="A962" s="240"/>
      <c r="B962" s="242" t="s">
        <v>606</v>
      </c>
      <c r="C962" s="245"/>
      <c r="D962" s="219">
        <v>1</v>
      </c>
      <c r="E962" s="220"/>
      <c r="F962" s="220"/>
      <c r="G962" s="220"/>
      <c r="H962" s="220"/>
      <c r="I962" s="220">
        <f>D962</f>
        <v>1</v>
      </c>
      <c r="J962" s="280"/>
      <c r="K962" s="281"/>
      <c r="L962" s="281"/>
    </row>
    <row r="963" spans="1:12" outlineLevel="1">
      <c r="A963" s="252"/>
      <c r="B963" s="267"/>
      <c r="C963" s="254"/>
      <c r="D963" s="224"/>
      <c r="E963" s="225"/>
      <c r="F963" s="224"/>
      <c r="G963" s="225"/>
      <c r="H963" s="225"/>
      <c r="I963" s="225"/>
      <c r="J963" s="280" t="s">
        <v>1168</v>
      </c>
      <c r="K963" s="281"/>
      <c r="L963" s="281"/>
    </row>
    <row r="964" spans="1:12" ht="94.5" outlineLevel="1">
      <c r="A964" s="210" t="s">
        <v>374</v>
      </c>
      <c r="B964" s="211" t="s">
        <v>381</v>
      </c>
      <c r="C964" s="212" t="s">
        <v>226</v>
      </c>
      <c r="D964" s="213"/>
      <c r="E964" s="214"/>
      <c r="F964" s="214"/>
      <c r="G964" s="214"/>
      <c r="H964" s="214"/>
      <c r="I964" s="215">
        <f>SUM(I965:I968)</f>
        <v>8</v>
      </c>
      <c r="J964" s="280"/>
      <c r="K964" s="281"/>
      <c r="L964" s="281"/>
    </row>
    <row r="965" spans="1:12" outlineLevel="1">
      <c r="A965" s="240"/>
      <c r="B965" s="258" t="s">
        <v>411</v>
      </c>
      <c r="C965" s="218"/>
      <c r="D965" s="219"/>
      <c r="E965" s="220"/>
      <c r="F965" s="220"/>
      <c r="G965" s="220"/>
      <c r="H965" s="220"/>
      <c r="I965" s="220"/>
      <c r="J965" s="280"/>
      <c r="K965" s="281"/>
      <c r="L965" s="281"/>
    </row>
    <row r="966" spans="1:12" outlineLevel="1">
      <c r="A966" s="240"/>
      <c r="B966" s="217" t="s">
        <v>605</v>
      </c>
      <c r="C966" s="218"/>
      <c r="D966" s="219">
        <v>4</v>
      </c>
      <c r="E966" s="220"/>
      <c r="F966" s="220"/>
      <c r="G966" s="220"/>
      <c r="H966" s="220"/>
      <c r="I966" s="220">
        <f>D966</f>
        <v>4</v>
      </c>
      <c r="J966" s="280" t="s">
        <v>1168</v>
      </c>
      <c r="K966" s="281"/>
      <c r="L966" s="281"/>
    </row>
    <row r="967" spans="1:12" outlineLevel="1">
      <c r="A967" s="240"/>
      <c r="B967" s="217" t="s">
        <v>606</v>
      </c>
      <c r="C967" s="218"/>
      <c r="D967" s="219">
        <v>4</v>
      </c>
      <c r="E967" s="220"/>
      <c r="F967" s="220"/>
      <c r="G967" s="220"/>
      <c r="H967" s="220"/>
      <c r="I967" s="220">
        <f>D967</f>
        <v>4</v>
      </c>
      <c r="J967" s="280"/>
      <c r="K967" s="281"/>
      <c r="L967" s="281"/>
    </row>
    <row r="968" spans="1:12" outlineLevel="1">
      <c r="A968" s="252"/>
      <c r="B968" s="222"/>
      <c r="C968" s="223"/>
      <c r="D968" s="224"/>
      <c r="E968" s="225"/>
      <c r="F968" s="224"/>
      <c r="G968" s="225"/>
      <c r="H968" s="225"/>
      <c r="I968" s="225"/>
      <c r="J968" s="280"/>
      <c r="K968" s="281"/>
      <c r="L968" s="281"/>
    </row>
    <row r="969" spans="1:12" outlineLevel="1">
      <c r="A969" s="188" t="s">
        <v>174</v>
      </c>
      <c r="B969" s="189" t="s">
        <v>608</v>
      </c>
      <c r="C969" s="233"/>
      <c r="D969" s="234"/>
      <c r="E969" s="235"/>
      <c r="F969" s="235"/>
      <c r="G969" s="235"/>
      <c r="H969" s="235"/>
      <c r="I969" s="236"/>
      <c r="J969" s="280" t="s">
        <v>1168</v>
      </c>
      <c r="K969" s="281"/>
      <c r="L969" s="281"/>
    </row>
    <row r="970" spans="1:12" ht="63" outlineLevel="1">
      <c r="A970" s="210" t="s">
        <v>377</v>
      </c>
      <c r="B970" s="239" t="s">
        <v>367</v>
      </c>
      <c r="C970" s="243" t="s">
        <v>226</v>
      </c>
      <c r="D970" s="213"/>
      <c r="E970" s="214"/>
      <c r="F970" s="214"/>
      <c r="G970" s="214"/>
      <c r="H970" s="214"/>
      <c r="I970" s="215">
        <f>SUM(I971:I973)</f>
        <v>3</v>
      </c>
      <c r="J970" s="280"/>
      <c r="K970" s="281"/>
      <c r="L970" s="281"/>
    </row>
    <row r="971" spans="1:12" outlineLevel="1">
      <c r="A971" s="240"/>
      <c r="B971" s="241" t="s">
        <v>413</v>
      </c>
      <c r="C971" s="245"/>
      <c r="D971" s="219"/>
      <c r="E971" s="220"/>
      <c r="F971" s="220"/>
      <c r="G971" s="220"/>
      <c r="H971" s="220"/>
      <c r="I971" s="220"/>
      <c r="J971" s="280"/>
      <c r="K971" s="281"/>
      <c r="L971" s="281"/>
    </row>
    <row r="972" spans="1:12" outlineLevel="1">
      <c r="A972" s="240"/>
      <c r="B972" s="242" t="s">
        <v>571</v>
      </c>
      <c r="C972" s="245"/>
      <c r="D972" s="219">
        <v>3</v>
      </c>
      <c r="E972" s="220"/>
      <c r="F972" s="220"/>
      <c r="G972" s="220"/>
      <c r="H972" s="220"/>
      <c r="I972" s="220">
        <f>D972</f>
        <v>3</v>
      </c>
      <c r="J972" s="280" t="s">
        <v>1168</v>
      </c>
      <c r="K972" s="281"/>
      <c r="L972" s="281"/>
    </row>
    <row r="973" spans="1:12" outlineLevel="1">
      <c r="A973" s="252"/>
      <c r="B973" s="267"/>
      <c r="C973" s="254"/>
      <c r="D973" s="224"/>
      <c r="E973" s="225"/>
      <c r="F973" s="224"/>
      <c r="G973" s="225"/>
      <c r="H973" s="225"/>
      <c r="I973" s="225"/>
      <c r="J973" s="280"/>
      <c r="K973" s="281"/>
      <c r="L973" s="281"/>
    </row>
    <row r="974" spans="1:12" ht="63" outlineLevel="1">
      <c r="A974" s="210" t="s">
        <v>378</v>
      </c>
      <c r="B974" s="239" t="s">
        <v>368</v>
      </c>
      <c r="C974" s="243" t="s">
        <v>226</v>
      </c>
      <c r="D974" s="213"/>
      <c r="E974" s="214"/>
      <c r="F974" s="214"/>
      <c r="G974" s="214"/>
      <c r="H974" s="214"/>
      <c r="I974" s="215">
        <f>SUM(I975:I977)</f>
        <v>3</v>
      </c>
      <c r="J974" s="280"/>
      <c r="K974" s="281"/>
      <c r="L974" s="281"/>
    </row>
    <row r="975" spans="1:12" outlineLevel="1">
      <c r="A975" s="240"/>
      <c r="B975" s="241" t="s">
        <v>413</v>
      </c>
      <c r="C975" s="245"/>
      <c r="D975" s="219"/>
      <c r="E975" s="220"/>
      <c r="F975" s="220"/>
      <c r="G975" s="220"/>
      <c r="H975" s="220"/>
      <c r="I975" s="220"/>
      <c r="J975" s="280" t="s">
        <v>1168</v>
      </c>
      <c r="K975" s="281"/>
      <c r="L975" s="281"/>
    </row>
    <row r="976" spans="1:12" outlineLevel="1">
      <c r="A976" s="240"/>
      <c r="B976" s="242" t="s">
        <v>571</v>
      </c>
      <c r="C976" s="245"/>
      <c r="D976" s="219">
        <v>3</v>
      </c>
      <c r="E976" s="220"/>
      <c r="F976" s="220"/>
      <c r="G976" s="220"/>
      <c r="H976" s="220"/>
      <c r="I976" s="220">
        <f>D976</f>
        <v>3</v>
      </c>
      <c r="J976" s="280"/>
      <c r="K976" s="281"/>
      <c r="L976" s="281"/>
    </row>
    <row r="977" spans="1:12" outlineLevel="1">
      <c r="A977" s="252"/>
      <c r="B977" s="267"/>
      <c r="C977" s="254"/>
      <c r="D977" s="224"/>
      <c r="E977" s="225"/>
      <c r="F977" s="224"/>
      <c r="G977" s="225"/>
      <c r="H977" s="225"/>
      <c r="I977" s="225"/>
      <c r="J977" s="280"/>
      <c r="K977" s="281"/>
      <c r="L977" s="281"/>
    </row>
    <row r="978" spans="1:12" ht="63" outlineLevel="1">
      <c r="A978" s="210" t="s">
        <v>613</v>
      </c>
      <c r="B978" s="239" t="s">
        <v>382</v>
      </c>
      <c r="C978" s="243" t="s">
        <v>226</v>
      </c>
      <c r="D978" s="213"/>
      <c r="E978" s="214"/>
      <c r="F978" s="214"/>
      <c r="G978" s="214"/>
      <c r="H978" s="214"/>
      <c r="I978" s="215">
        <f>SUM(I979:I981)</f>
        <v>18</v>
      </c>
      <c r="J978" s="280" t="s">
        <v>1168</v>
      </c>
      <c r="K978" s="281"/>
      <c r="L978" s="281"/>
    </row>
    <row r="979" spans="1:12" outlineLevel="1">
      <c r="A979" s="240"/>
      <c r="B979" s="241" t="s">
        <v>413</v>
      </c>
      <c r="C979" s="245"/>
      <c r="D979" s="219"/>
      <c r="E979" s="220"/>
      <c r="F979" s="220"/>
      <c r="G979" s="220"/>
      <c r="H979" s="220"/>
      <c r="I979" s="220"/>
      <c r="J979" s="280"/>
      <c r="K979" s="281"/>
      <c r="L979" s="281"/>
    </row>
    <row r="980" spans="1:12" outlineLevel="1">
      <c r="A980" s="240"/>
      <c r="B980" s="242" t="s">
        <v>571</v>
      </c>
      <c r="C980" s="245"/>
      <c r="D980" s="219">
        <f>(3*4)+(3*2)</f>
        <v>18</v>
      </c>
      <c r="E980" s="220"/>
      <c r="F980" s="220"/>
      <c r="G980" s="220"/>
      <c r="H980" s="220"/>
      <c r="I980" s="220">
        <f>D980</f>
        <v>18</v>
      </c>
      <c r="J980" s="280"/>
      <c r="K980" s="281"/>
      <c r="L980" s="281"/>
    </row>
    <row r="981" spans="1:12" outlineLevel="1">
      <c r="A981" s="252"/>
      <c r="B981" s="267"/>
      <c r="C981" s="254"/>
      <c r="D981" s="224"/>
      <c r="E981" s="225"/>
      <c r="F981" s="224"/>
      <c r="G981" s="225"/>
      <c r="H981" s="225"/>
      <c r="I981" s="225"/>
      <c r="J981" s="280" t="s">
        <v>1168</v>
      </c>
      <c r="K981" s="281"/>
      <c r="L981" s="281"/>
    </row>
    <row r="982" spans="1:12" outlineLevel="1">
      <c r="A982" s="188" t="s">
        <v>178</v>
      </c>
      <c r="B982" s="189" t="s">
        <v>897</v>
      </c>
      <c r="C982" s="233"/>
      <c r="D982" s="234"/>
      <c r="E982" s="235"/>
      <c r="F982" s="235"/>
      <c r="G982" s="235"/>
      <c r="H982" s="235"/>
      <c r="I982" s="236"/>
      <c r="J982" s="280"/>
      <c r="K982" s="281"/>
      <c r="L982" s="281"/>
    </row>
    <row r="983" spans="1:12" ht="63" outlineLevel="1">
      <c r="A983" s="210" t="s">
        <v>379</v>
      </c>
      <c r="B983" s="239" t="s">
        <v>371</v>
      </c>
      <c r="C983" s="212" t="s">
        <v>226</v>
      </c>
      <c r="D983" s="213"/>
      <c r="E983" s="214"/>
      <c r="F983" s="214"/>
      <c r="G983" s="214"/>
      <c r="H983" s="214"/>
      <c r="I983" s="215">
        <f>SUM(I984:I986)</f>
        <v>1</v>
      </c>
      <c r="J983" s="280"/>
      <c r="K983" s="281"/>
      <c r="L983" s="281"/>
    </row>
    <row r="984" spans="1:12" outlineLevel="1">
      <c r="A984" s="240"/>
      <c r="B984" s="241" t="s">
        <v>413</v>
      </c>
      <c r="C984" s="218"/>
      <c r="D984" s="219"/>
      <c r="E984" s="220"/>
      <c r="F984" s="220"/>
      <c r="G984" s="220"/>
      <c r="H984" s="220"/>
      <c r="I984" s="220"/>
      <c r="J984" s="280" t="s">
        <v>1168</v>
      </c>
      <c r="K984" s="281"/>
      <c r="L984" s="281"/>
    </row>
    <row r="985" spans="1:12" outlineLevel="1">
      <c r="A985" s="240"/>
      <c r="B985" s="242" t="s">
        <v>420</v>
      </c>
      <c r="C985" s="218"/>
      <c r="D985" s="219">
        <v>1</v>
      </c>
      <c r="E985" s="220"/>
      <c r="F985" s="220"/>
      <c r="G985" s="220"/>
      <c r="H985" s="220"/>
      <c r="I985" s="220">
        <f>D985</f>
        <v>1</v>
      </c>
      <c r="J985" s="280"/>
      <c r="K985" s="281"/>
      <c r="L985" s="281"/>
    </row>
    <row r="986" spans="1:12" outlineLevel="1">
      <c r="A986" s="252"/>
      <c r="B986" s="267"/>
      <c r="C986" s="223"/>
      <c r="D986" s="224"/>
      <c r="E986" s="225"/>
      <c r="F986" s="224"/>
      <c r="G986" s="225"/>
      <c r="H986" s="225"/>
      <c r="I986" s="225"/>
      <c r="J986" s="280"/>
      <c r="K986" s="281"/>
      <c r="L986" s="281"/>
    </row>
    <row r="987" spans="1:12" ht="94.5" outlineLevel="1">
      <c r="A987" s="210" t="s">
        <v>380</v>
      </c>
      <c r="B987" s="211" t="s">
        <v>381</v>
      </c>
      <c r="C987" s="212" t="s">
        <v>226</v>
      </c>
      <c r="D987" s="213"/>
      <c r="E987" s="214"/>
      <c r="F987" s="214"/>
      <c r="G987" s="214"/>
      <c r="H987" s="214"/>
      <c r="I987" s="215">
        <f>SUM(I988:I990)</f>
        <v>19</v>
      </c>
      <c r="J987" s="280" t="s">
        <v>1168</v>
      </c>
      <c r="K987" s="281"/>
      <c r="L987" s="281"/>
    </row>
    <row r="988" spans="1:12" outlineLevel="1">
      <c r="A988" s="240"/>
      <c r="B988" s="258" t="s">
        <v>413</v>
      </c>
      <c r="C988" s="218"/>
      <c r="D988" s="219"/>
      <c r="E988" s="220"/>
      <c r="F988" s="220"/>
      <c r="G988" s="220"/>
      <c r="H988" s="220"/>
      <c r="I988" s="220"/>
      <c r="J988" s="280"/>
      <c r="K988" s="281"/>
      <c r="L988" s="281"/>
    </row>
    <row r="989" spans="1:12" outlineLevel="1">
      <c r="A989" s="240"/>
      <c r="B989" s="217" t="s">
        <v>420</v>
      </c>
      <c r="C989" s="218"/>
      <c r="D989" s="219">
        <v>19</v>
      </c>
      <c r="E989" s="220"/>
      <c r="F989" s="220"/>
      <c r="G989" s="220"/>
      <c r="H989" s="220"/>
      <c r="I989" s="220">
        <f>D989</f>
        <v>19</v>
      </c>
      <c r="J989" s="280"/>
      <c r="K989" s="281"/>
      <c r="L989" s="281"/>
    </row>
    <row r="990" spans="1:12" outlineLevel="1">
      <c r="A990" s="252"/>
      <c r="B990" s="222"/>
      <c r="C990" s="223"/>
      <c r="D990" s="224"/>
      <c r="E990" s="225"/>
      <c r="F990" s="224"/>
      <c r="G990" s="225"/>
      <c r="H990" s="225"/>
      <c r="I990" s="225"/>
      <c r="J990" s="280" t="s">
        <v>1168</v>
      </c>
      <c r="K990" s="281"/>
      <c r="L990" s="281"/>
    </row>
    <row r="991" spans="1:12" outlineLevel="1">
      <c r="A991" s="188" t="s">
        <v>609</v>
      </c>
      <c r="B991" s="189" t="s">
        <v>610</v>
      </c>
      <c r="C991" s="233"/>
      <c r="D991" s="234"/>
      <c r="E991" s="235"/>
      <c r="F991" s="235"/>
      <c r="G991" s="235"/>
      <c r="H991" s="235"/>
      <c r="I991" s="236"/>
      <c r="J991" s="280"/>
      <c r="K991" s="281"/>
      <c r="L991" s="281"/>
    </row>
    <row r="992" spans="1:12" ht="63" outlineLevel="1">
      <c r="A992" s="210" t="s">
        <v>612</v>
      </c>
      <c r="B992" s="211" t="s">
        <v>369</v>
      </c>
      <c r="C992" s="212" t="s">
        <v>226</v>
      </c>
      <c r="D992" s="213"/>
      <c r="E992" s="214"/>
      <c r="F992" s="214"/>
      <c r="G992" s="214"/>
      <c r="H992" s="214"/>
      <c r="I992" s="215">
        <f>SUM(I993:I995)</f>
        <v>11</v>
      </c>
      <c r="J992" s="280"/>
      <c r="K992" s="281"/>
      <c r="L992" s="281"/>
    </row>
    <row r="993" spans="1:12" outlineLevel="1">
      <c r="A993" s="216"/>
      <c r="B993" s="258" t="s">
        <v>414</v>
      </c>
      <c r="C993" s="218"/>
      <c r="D993" s="219"/>
      <c r="E993" s="220"/>
      <c r="F993" s="220"/>
      <c r="G993" s="220"/>
      <c r="H993" s="220"/>
      <c r="I993" s="220"/>
      <c r="J993" s="280" t="s">
        <v>1168</v>
      </c>
      <c r="K993" s="281"/>
      <c r="L993" s="281"/>
    </row>
    <row r="994" spans="1:12" outlineLevel="1">
      <c r="A994" s="216"/>
      <c r="B994" s="217" t="s">
        <v>431</v>
      </c>
      <c r="C994" s="218"/>
      <c r="D994" s="219">
        <v>11</v>
      </c>
      <c r="E994" s="220"/>
      <c r="F994" s="220"/>
      <c r="G994" s="220"/>
      <c r="H994" s="220"/>
      <c r="I994" s="220">
        <f>D994</f>
        <v>11</v>
      </c>
      <c r="J994" s="280"/>
      <c r="K994" s="281"/>
      <c r="L994" s="281"/>
    </row>
    <row r="995" spans="1:12" outlineLevel="1">
      <c r="A995" s="252"/>
      <c r="B995" s="267"/>
      <c r="C995" s="254"/>
      <c r="D995" s="255"/>
      <c r="E995" s="256"/>
      <c r="F995" s="255"/>
      <c r="G995" s="256"/>
      <c r="H995" s="256"/>
      <c r="I995" s="256"/>
      <c r="J995" s="280"/>
      <c r="K995" s="281"/>
      <c r="L995" s="281"/>
    </row>
    <row r="996" spans="1:12" ht="63" outlineLevel="1">
      <c r="A996" s="210" t="s">
        <v>614</v>
      </c>
      <c r="B996" s="239" t="s">
        <v>383</v>
      </c>
      <c r="C996" s="243" t="s">
        <v>226</v>
      </c>
      <c r="D996" s="213"/>
      <c r="E996" s="214"/>
      <c r="F996" s="214"/>
      <c r="G996" s="214"/>
      <c r="H996" s="214"/>
      <c r="I996" s="215">
        <f>SUM(I997:I1000)</f>
        <v>18</v>
      </c>
      <c r="J996" s="280" t="s">
        <v>1168</v>
      </c>
      <c r="K996" s="281"/>
      <c r="L996" s="281"/>
    </row>
    <row r="997" spans="1:12" outlineLevel="1">
      <c r="A997" s="240"/>
      <c r="B997" s="241" t="s">
        <v>414</v>
      </c>
      <c r="C997" s="245"/>
      <c r="D997" s="219"/>
      <c r="E997" s="220"/>
      <c r="F997" s="220"/>
      <c r="G997" s="220"/>
      <c r="H997" s="220"/>
      <c r="I997" s="220"/>
      <c r="J997" s="280"/>
      <c r="K997" s="281"/>
      <c r="L997" s="281"/>
    </row>
    <row r="998" spans="1:12" outlineLevel="1">
      <c r="A998" s="240"/>
      <c r="B998" s="242" t="s">
        <v>473</v>
      </c>
      <c r="C998" s="245"/>
      <c r="D998" s="219">
        <v>7</v>
      </c>
      <c r="E998" s="220"/>
      <c r="F998" s="220"/>
      <c r="G998" s="220"/>
      <c r="H998" s="220"/>
      <c r="I998" s="220">
        <f>D998</f>
        <v>7</v>
      </c>
      <c r="J998" s="280"/>
      <c r="K998" s="281"/>
      <c r="L998" s="281"/>
    </row>
    <row r="999" spans="1:12" outlineLevel="1">
      <c r="A999" s="240"/>
      <c r="B999" s="242" t="s">
        <v>431</v>
      </c>
      <c r="C999" s="245"/>
      <c r="D999" s="219">
        <v>11</v>
      </c>
      <c r="E999" s="220"/>
      <c r="F999" s="220"/>
      <c r="G999" s="220"/>
      <c r="H999" s="220"/>
      <c r="I999" s="220">
        <f>D999</f>
        <v>11</v>
      </c>
      <c r="J999" s="280" t="s">
        <v>1168</v>
      </c>
      <c r="K999" s="281"/>
      <c r="L999" s="281"/>
    </row>
    <row r="1000" spans="1:12" outlineLevel="1">
      <c r="A1000" s="252"/>
      <c r="B1000" s="267"/>
      <c r="C1000" s="254"/>
      <c r="D1000" s="224"/>
      <c r="E1000" s="225"/>
      <c r="F1000" s="224"/>
      <c r="G1000" s="225"/>
      <c r="H1000" s="225"/>
      <c r="I1000" s="225"/>
      <c r="J1000" s="280"/>
      <c r="K1000" s="281"/>
      <c r="L1000" s="281"/>
    </row>
    <row r="1001" spans="1:12" outlineLevel="1">
      <c r="A1001" s="188" t="s">
        <v>611</v>
      </c>
      <c r="B1001" s="189" t="s">
        <v>898</v>
      </c>
      <c r="C1001" s="233"/>
      <c r="D1001" s="234"/>
      <c r="E1001" s="235"/>
      <c r="F1001" s="235"/>
      <c r="G1001" s="235"/>
      <c r="H1001" s="235"/>
      <c r="I1001" s="236"/>
      <c r="J1001" s="280"/>
      <c r="K1001" s="281"/>
      <c r="L1001" s="281"/>
    </row>
    <row r="1002" spans="1:12" ht="47.25" outlineLevel="1">
      <c r="A1002" s="210" t="s">
        <v>615</v>
      </c>
      <c r="B1002" s="211" t="s">
        <v>372</v>
      </c>
      <c r="C1002" s="212" t="s">
        <v>226</v>
      </c>
      <c r="D1002" s="213"/>
      <c r="E1002" s="214"/>
      <c r="F1002" s="214"/>
      <c r="G1002" s="214"/>
      <c r="H1002" s="214"/>
      <c r="I1002" s="215">
        <f>SUM(I1003:I1006)</f>
        <v>2</v>
      </c>
      <c r="J1002" s="280" t="s">
        <v>1168</v>
      </c>
      <c r="K1002" s="281"/>
      <c r="L1002" s="281"/>
    </row>
    <row r="1003" spans="1:12" outlineLevel="1">
      <c r="A1003" s="216"/>
      <c r="B1003" s="258" t="s">
        <v>414</v>
      </c>
      <c r="C1003" s="218"/>
      <c r="D1003" s="219"/>
      <c r="E1003" s="220"/>
      <c r="F1003" s="220"/>
      <c r="G1003" s="220"/>
      <c r="H1003" s="220"/>
      <c r="I1003" s="220"/>
      <c r="J1003" s="280"/>
      <c r="K1003" s="281"/>
      <c r="L1003" s="281"/>
    </row>
    <row r="1004" spans="1:12" outlineLevel="1">
      <c r="A1004" s="216"/>
      <c r="B1004" s="217" t="s">
        <v>605</v>
      </c>
      <c r="C1004" s="218"/>
      <c r="D1004" s="219">
        <v>1</v>
      </c>
      <c r="E1004" s="220"/>
      <c r="F1004" s="220"/>
      <c r="G1004" s="220"/>
      <c r="H1004" s="220"/>
      <c r="I1004" s="220">
        <f>D1004</f>
        <v>1</v>
      </c>
      <c r="J1004" s="280"/>
      <c r="K1004" s="281"/>
      <c r="L1004" s="281"/>
    </row>
    <row r="1005" spans="1:12" outlineLevel="1">
      <c r="A1005" s="216"/>
      <c r="B1005" s="217" t="s">
        <v>606</v>
      </c>
      <c r="C1005" s="218"/>
      <c r="D1005" s="219">
        <v>1</v>
      </c>
      <c r="E1005" s="220"/>
      <c r="F1005" s="220"/>
      <c r="G1005" s="220"/>
      <c r="H1005" s="220"/>
      <c r="I1005" s="220">
        <f>D1005</f>
        <v>1</v>
      </c>
      <c r="J1005" s="280" t="s">
        <v>1168</v>
      </c>
      <c r="K1005" s="281"/>
      <c r="L1005" s="281"/>
    </row>
    <row r="1006" spans="1:12" outlineLevel="1">
      <c r="A1006" s="221"/>
      <c r="B1006" s="222"/>
      <c r="C1006" s="223"/>
      <c r="D1006" s="224"/>
      <c r="E1006" s="225"/>
      <c r="F1006" s="224"/>
      <c r="G1006" s="225"/>
      <c r="H1006" s="225"/>
      <c r="I1006" s="225"/>
      <c r="J1006" s="280"/>
      <c r="K1006" s="281"/>
      <c r="L1006" s="281"/>
    </row>
    <row r="1007" spans="1:12" ht="94.5" outlineLevel="1">
      <c r="A1007" s="210" t="s">
        <v>616</v>
      </c>
      <c r="B1007" s="211" t="s">
        <v>381</v>
      </c>
      <c r="C1007" s="212" t="s">
        <v>226</v>
      </c>
      <c r="D1007" s="213"/>
      <c r="E1007" s="214"/>
      <c r="F1007" s="214"/>
      <c r="G1007" s="214"/>
      <c r="H1007" s="214"/>
      <c r="I1007" s="215">
        <f>SUM(I1008:I1011)</f>
        <v>10</v>
      </c>
      <c r="J1007" s="280"/>
      <c r="K1007" s="281"/>
      <c r="L1007" s="281"/>
    </row>
    <row r="1008" spans="1:12" outlineLevel="1">
      <c r="A1008" s="240"/>
      <c r="B1008" s="258" t="s">
        <v>414</v>
      </c>
      <c r="C1008" s="218"/>
      <c r="D1008" s="219"/>
      <c r="E1008" s="220"/>
      <c r="F1008" s="220"/>
      <c r="G1008" s="220"/>
      <c r="H1008" s="220"/>
      <c r="I1008" s="220"/>
      <c r="J1008" s="280" t="s">
        <v>1168</v>
      </c>
      <c r="K1008" s="281"/>
      <c r="L1008" s="281"/>
    </row>
    <row r="1009" spans="1:15" outlineLevel="1">
      <c r="A1009" s="240"/>
      <c r="B1009" s="217" t="s">
        <v>605</v>
      </c>
      <c r="C1009" s="218"/>
      <c r="D1009" s="219">
        <v>5</v>
      </c>
      <c r="E1009" s="220"/>
      <c r="F1009" s="220"/>
      <c r="G1009" s="220"/>
      <c r="H1009" s="220"/>
      <c r="I1009" s="220">
        <f>D1009</f>
        <v>5</v>
      </c>
      <c r="J1009" s="280"/>
      <c r="K1009" s="281"/>
      <c r="L1009" s="281"/>
    </row>
    <row r="1010" spans="1:15" outlineLevel="1">
      <c r="A1010" s="240"/>
      <c r="B1010" s="217" t="s">
        <v>606</v>
      </c>
      <c r="C1010" s="218"/>
      <c r="D1010" s="219">
        <v>5</v>
      </c>
      <c r="E1010" s="220"/>
      <c r="F1010" s="220"/>
      <c r="G1010" s="220"/>
      <c r="H1010" s="220"/>
      <c r="I1010" s="220">
        <f>D1010</f>
        <v>5</v>
      </c>
      <c r="J1010" s="280"/>
      <c r="K1010" s="281"/>
      <c r="L1010" s="281"/>
    </row>
    <row r="1011" spans="1:15" outlineLevel="1">
      <c r="A1011" s="252"/>
      <c r="B1011" s="222"/>
      <c r="C1011" s="223"/>
      <c r="D1011" s="224"/>
      <c r="E1011" s="225"/>
      <c r="F1011" s="224"/>
      <c r="G1011" s="225"/>
      <c r="H1011" s="225"/>
      <c r="I1011" s="225"/>
      <c r="J1011" s="280" t="s">
        <v>1168</v>
      </c>
      <c r="K1011" s="281"/>
      <c r="L1011" s="281"/>
    </row>
    <row r="1012" spans="1:15" outlineLevel="1">
      <c r="A1012" s="188" t="s">
        <v>855</v>
      </c>
      <c r="B1012" s="189" t="s">
        <v>858</v>
      </c>
      <c r="C1012" s="233"/>
      <c r="D1012" s="234"/>
      <c r="E1012" s="235"/>
      <c r="F1012" s="235"/>
      <c r="G1012" s="235"/>
      <c r="H1012" s="235"/>
      <c r="I1012" s="236"/>
      <c r="J1012" s="280"/>
      <c r="K1012" s="281"/>
      <c r="L1012" s="281"/>
    </row>
    <row r="1013" spans="1:15" ht="31.5" outlineLevel="1">
      <c r="A1013" s="210" t="s">
        <v>856</v>
      </c>
      <c r="B1013" s="211" t="s">
        <v>857</v>
      </c>
      <c r="C1013" s="212" t="s">
        <v>7</v>
      </c>
      <c r="D1013" s="213"/>
      <c r="E1013" s="214"/>
      <c r="F1013" s="214"/>
      <c r="G1013" s="214"/>
      <c r="H1013" s="214"/>
      <c r="I1013" s="215">
        <f>SUM(I1014:I1017)</f>
        <v>1</v>
      </c>
      <c r="J1013" s="280"/>
      <c r="K1013" s="281"/>
      <c r="L1013" s="281"/>
    </row>
    <row r="1014" spans="1:15" outlineLevel="1">
      <c r="A1014" s="216"/>
      <c r="B1014" s="258" t="s">
        <v>414</v>
      </c>
      <c r="C1014" s="218"/>
      <c r="D1014" s="219"/>
      <c r="E1014" s="220"/>
      <c r="F1014" s="220"/>
      <c r="G1014" s="220"/>
      <c r="H1014" s="220"/>
      <c r="I1014" s="220"/>
      <c r="J1014" s="280" t="s">
        <v>1168</v>
      </c>
      <c r="K1014" s="281"/>
      <c r="L1014" s="281"/>
    </row>
    <row r="1015" spans="1:15" outlineLevel="1">
      <c r="A1015" s="216"/>
      <c r="B1015" s="217" t="s">
        <v>605</v>
      </c>
      <c r="C1015" s="218"/>
      <c r="D1015" s="219">
        <v>1</v>
      </c>
      <c r="E1015" s="220"/>
      <c r="F1015" s="220"/>
      <c r="G1015" s="220"/>
      <c r="H1015" s="220"/>
      <c r="I1015" s="220">
        <f>D1015</f>
        <v>1</v>
      </c>
      <c r="J1015" s="280"/>
      <c r="K1015" s="281"/>
      <c r="L1015" s="281"/>
    </row>
    <row r="1016" spans="1:15">
      <c r="A1016" s="227" t="s">
        <v>170</v>
      </c>
      <c r="B1016" s="228" t="s">
        <v>169</v>
      </c>
      <c r="C1016" s="229"/>
      <c r="D1016" s="230"/>
      <c r="E1016" s="231"/>
      <c r="F1016" s="231"/>
      <c r="G1016" s="231"/>
      <c r="H1016" s="231"/>
      <c r="I1016" s="232"/>
      <c r="J1016" s="280"/>
      <c r="K1016" s="281"/>
      <c r="L1016" s="281"/>
      <c r="M1016" s="26"/>
      <c r="N1016" s="26"/>
      <c r="O1016" s="26"/>
    </row>
    <row r="1017" spans="1:15" s="26" customFormat="1" outlineLevel="1">
      <c r="A1017" s="188" t="s">
        <v>171</v>
      </c>
      <c r="B1017" s="189" t="s">
        <v>634</v>
      </c>
      <c r="C1017" s="233"/>
      <c r="D1017" s="234"/>
      <c r="E1017" s="235"/>
      <c r="F1017" s="235"/>
      <c r="G1017" s="235"/>
      <c r="H1017" s="235"/>
      <c r="I1017" s="236"/>
      <c r="J1017" s="280" t="s">
        <v>1168</v>
      </c>
      <c r="K1017" s="281"/>
      <c r="L1017" s="281"/>
    </row>
    <row r="1018" spans="1:15" ht="63" outlineLevel="1">
      <c r="A1018" s="210" t="s">
        <v>384</v>
      </c>
      <c r="B1018" s="211" t="s">
        <v>635</v>
      </c>
      <c r="C1018" s="212" t="s">
        <v>8</v>
      </c>
      <c r="D1018" s="213"/>
      <c r="E1018" s="214"/>
      <c r="F1018" s="214"/>
      <c r="G1018" s="214"/>
      <c r="H1018" s="214"/>
      <c r="I1018" s="215">
        <f>SUM(I1019:I1021)</f>
        <v>1</v>
      </c>
      <c r="J1018" s="280"/>
      <c r="K1018" s="281"/>
      <c r="L1018" s="281"/>
    </row>
    <row r="1019" spans="1:15" outlineLevel="1">
      <c r="A1019" s="216"/>
      <c r="B1019" s="258" t="s">
        <v>413</v>
      </c>
      <c r="C1019" s="218"/>
      <c r="D1019" s="219"/>
      <c r="E1019" s="220"/>
      <c r="F1019" s="220"/>
      <c r="G1019" s="220"/>
      <c r="H1019" s="220"/>
      <c r="I1019" s="220"/>
      <c r="J1019" s="280"/>
      <c r="K1019" s="281"/>
      <c r="L1019" s="281"/>
    </row>
    <row r="1020" spans="1:15" outlineLevel="1">
      <c r="A1020" s="216"/>
      <c r="B1020" s="217" t="s">
        <v>420</v>
      </c>
      <c r="C1020" s="218"/>
      <c r="D1020" s="219">
        <v>1</v>
      </c>
      <c r="E1020" s="220"/>
      <c r="F1020" s="220">
        <v>3.66</v>
      </c>
      <c r="G1020" s="220">
        <v>0.65</v>
      </c>
      <c r="H1020" s="220"/>
      <c r="I1020" s="220">
        <f>D1020</f>
        <v>1</v>
      </c>
      <c r="J1020" s="280" t="s">
        <v>1168</v>
      </c>
      <c r="K1020" s="281"/>
      <c r="L1020" s="281"/>
    </row>
    <row r="1021" spans="1:15" outlineLevel="1">
      <c r="A1021" s="221"/>
      <c r="B1021" s="259"/>
      <c r="C1021" s="223"/>
      <c r="D1021" s="224"/>
      <c r="E1021" s="225"/>
      <c r="F1021" s="225"/>
      <c r="G1021" s="225"/>
      <c r="H1021" s="225"/>
      <c r="I1021" s="225"/>
      <c r="J1021" s="280"/>
      <c r="K1021" s="281"/>
      <c r="L1021" s="281"/>
    </row>
    <row r="1022" spans="1:15" ht="96" customHeight="1" outlineLevel="1">
      <c r="A1022" s="210" t="s">
        <v>385</v>
      </c>
      <c r="B1022" s="211" t="s">
        <v>636</v>
      </c>
      <c r="C1022" s="212" t="s">
        <v>8</v>
      </c>
      <c r="D1022" s="213"/>
      <c r="E1022" s="214"/>
      <c r="F1022" s="214"/>
      <c r="G1022" s="214"/>
      <c r="H1022" s="214"/>
      <c r="I1022" s="215">
        <f>SUM(I1023:I1025)</f>
        <v>1</v>
      </c>
      <c r="J1022" s="280"/>
      <c r="K1022" s="281"/>
      <c r="L1022" s="281"/>
    </row>
    <row r="1023" spans="1:15" outlineLevel="1">
      <c r="A1023" s="216"/>
      <c r="B1023" s="258" t="s">
        <v>413</v>
      </c>
      <c r="C1023" s="218"/>
      <c r="D1023" s="219"/>
      <c r="E1023" s="220"/>
      <c r="F1023" s="220"/>
      <c r="G1023" s="220"/>
      <c r="H1023" s="220"/>
      <c r="I1023" s="220"/>
      <c r="J1023" s="280" t="s">
        <v>1168</v>
      </c>
      <c r="K1023" s="281"/>
      <c r="L1023" s="281"/>
    </row>
    <row r="1024" spans="1:15" outlineLevel="1">
      <c r="A1024" s="216"/>
      <c r="B1024" s="217" t="s">
        <v>420</v>
      </c>
      <c r="C1024" s="218"/>
      <c r="D1024" s="219">
        <v>1</v>
      </c>
      <c r="E1024" s="220"/>
      <c r="F1024" s="220">
        <v>2.16</v>
      </c>
      <c r="G1024" s="220">
        <v>0.6</v>
      </c>
      <c r="H1024" s="220">
        <v>0.6</v>
      </c>
      <c r="I1024" s="220">
        <f>D1024</f>
        <v>1</v>
      </c>
      <c r="J1024" s="280"/>
      <c r="K1024" s="281"/>
      <c r="L1024" s="281"/>
    </row>
    <row r="1025" spans="1:12" outlineLevel="1">
      <c r="A1025" s="221"/>
      <c r="B1025" s="222"/>
      <c r="C1025" s="223"/>
      <c r="D1025" s="224"/>
      <c r="E1025" s="225"/>
      <c r="F1025" s="224"/>
      <c r="G1025" s="225"/>
      <c r="H1025" s="225"/>
      <c r="I1025" s="225"/>
      <c r="J1025" s="280"/>
      <c r="K1025" s="281"/>
      <c r="L1025" s="281"/>
    </row>
    <row r="1026" spans="1:12" ht="94.5" outlineLevel="1">
      <c r="A1026" s="210" t="s">
        <v>626</v>
      </c>
      <c r="B1026" s="211" t="s">
        <v>637</v>
      </c>
      <c r="C1026" s="212" t="s">
        <v>8</v>
      </c>
      <c r="D1026" s="213"/>
      <c r="E1026" s="214"/>
      <c r="F1026" s="214"/>
      <c r="G1026" s="214"/>
      <c r="H1026" s="214"/>
      <c r="I1026" s="215">
        <f>SUM(I1027:I1029)</f>
        <v>1</v>
      </c>
      <c r="J1026" s="280" t="s">
        <v>1168</v>
      </c>
      <c r="K1026" s="281"/>
      <c r="L1026" s="281"/>
    </row>
    <row r="1027" spans="1:12" outlineLevel="1">
      <c r="A1027" s="216"/>
      <c r="B1027" s="258" t="s">
        <v>413</v>
      </c>
      <c r="C1027" s="218"/>
      <c r="D1027" s="219"/>
      <c r="E1027" s="220"/>
      <c r="F1027" s="220"/>
      <c r="G1027" s="220"/>
      <c r="H1027" s="220"/>
      <c r="I1027" s="220"/>
      <c r="J1027" s="280"/>
      <c r="K1027" s="281"/>
      <c r="L1027" s="281"/>
    </row>
    <row r="1028" spans="1:12" outlineLevel="1">
      <c r="A1028" s="216"/>
      <c r="B1028" s="217" t="s">
        <v>420</v>
      </c>
      <c r="C1028" s="218"/>
      <c r="D1028" s="219">
        <v>1</v>
      </c>
      <c r="E1028" s="220"/>
      <c r="F1028" s="220">
        <v>2.16</v>
      </c>
      <c r="G1028" s="220">
        <v>0.6</v>
      </c>
      <c r="H1028" s="220">
        <v>0.65</v>
      </c>
      <c r="I1028" s="220">
        <f>D1028</f>
        <v>1</v>
      </c>
      <c r="J1028" s="280"/>
      <c r="K1028" s="281"/>
      <c r="L1028" s="281"/>
    </row>
    <row r="1029" spans="1:12" outlineLevel="1">
      <c r="A1029" s="221"/>
      <c r="B1029" s="222"/>
      <c r="C1029" s="223"/>
      <c r="D1029" s="224"/>
      <c r="E1029" s="225"/>
      <c r="F1029" s="224"/>
      <c r="G1029" s="225"/>
      <c r="H1029" s="225"/>
      <c r="I1029" s="225"/>
      <c r="J1029" s="280" t="s">
        <v>1168</v>
      </c>
      <c r="K1029" s="281"/>
      <c r="L1029" s="281"/>
    </row>
    <row r="1030" spans="1:12" s="26" customFormat="1" outlineLevel="1">
      <c r="A1030" s="188" t="s">
        <v>303</v>
      </c>
      <c r="B1030" s="189" t="s">
        <v>631</v>
      </c>
      <c r="C1030" s="233"/>
      <c r="D1030" s="234"/>
      <c r="E1030" s="235"/>
      <c r="F1030" s="235"/>
      <c r="G1030" s="235"/>
      <c r="H1030" s="235"/>
      <c r="I1030" s="236"/>
      <c r="J1030" s="280"/>
      <c r="K1030" s="281"/>
      <c r="L1030" s="281"/>
    </row>
    <row r="1031" spans="1:12" ht="110.25" outlineLevel="1">
      <c r="A1031" s="210" t="s">
        <v>622</v>
      </c>
      <c r="B1031" s="211" t="s">
        <v>878</v>
      </c>
      <c r="C1031" s="212" t="s">
        <v>226</v>
      </c>
      <c r="D1031" s="213"/>
      <c r="E1031" s="214"/>
      <c r="F1031" s="214"/>
      <c r="G1031" s="214"/>
      <c r="H1031" s="214"/>
      <c r="I1031" s="215">
        <f>SUM(I1032:I1034)</f>
        <v>1</v>
      </c>
      <c r="J1031" s="280"/>
      <c r="K1031" s="281"/>
      <c r="L1031" s="281"/>
    </row>
    <row r="1032" spans="1:12" s="26" customFormat="1" outlineLevel="1">
      <c r="A1032" s="216"/>
      <c r="B1032" s="258" t="s">
        <v>413</v>
      </c>
      <c r="C1032" s="218"/>
      <c r="D1032" s="219"/>
      <c r="E1032" s="220"/>
      <c r="F1032" s="220"/>
      <c r="G1032" s="220"/>
      <c r="H1032" s="220"/>
      <c r="I1032" s="220"/>
      <c r="J1032" s="280" t="s">
        <v>1168</v>
      </c>
      <c r="K1032" s="281"/>
      <c r="L1032" s="281"/>
    </row>
    <row r="1033" spans="1:12" outlineLevel="1">
      <c r="A1033" s="216"/>
      <c r="B1033" s="217" t="s">
        <v>421</v>
      </c>
      <c r="C1033" s="218"/>
      <c r="D1033" s="219">
        <v>1</v>
      </c>
      <c r="E1033" s="220"/>
      <c r="F1033" s="220">
        <v>2</v>
      </c>
      <c r="G1033" s="220">
        <v>0.6</v>
      </c>
      <c r="H1033" s="220">
        <v>0.9</v>
      </c>
      <c r="I1033" s="220">
        <f>D1033</f>
        <v>1</v>
      </c>
      <c r="J1033" s="280"/>
      <c r="K1033" s="281"/>
      <c r="L1033" s="281"/>
    </row>
    <row r="1034" spans="1:12" outlineLevel="1">
      <c r="A1034" s="221"/>
      <c r="B1034" s="222"/>
      <c r="C1034" s="223"/>
      <c r="D1034" s="224"/>
      <c r="E1034" s="225"/>
      <c r="F1034" s="224"/>
      <c r="G1034" s="225"/>
      <c r="H1034" s="225"/>
      <c r="I1034" s="225"/>
      <c r="J1034" s="280"/>
      <c r="K1034" s="281"/>
      <c r="L1034" s="281"/>
    </row>
    <row r="1035" spans="1:12" ht="96" customHeight="1" outlineLevel="1">
      <c r="A1035" s="210" t="s">
        <v>644</v>
      </c>
      <c r="B1035" s="211" t="s">
        <v>645</v>
      </c>
      <c r="C1035" s="212" t="s">
        <v>8</v>
      </c>
      <c r="D1035" s="213"/>
      <c r="E1035" s="214"/>
      <c r="F1035" s="214"/>
      <c r="G1035" s="214"/>
      <c r="H1035" s="214"/>
      <c r="I1035" s="215">
        <f>SUM(I1036:I1038)</f>
        <v>1</v>
      </c>
      <c r="J1035" s="280" t="s">
        <v>1168</v>
      </c>
      <c r="K1035" s="281"/>
      <c r="L1035" s="281"/>
    </row>
    <row r="1036" spans="1:12" outlineLevel="1">
      <c r="A1036" s="216"/>
      <c r="B1036" s="258" t="s">
        <v>413</v>
      </c>
      <c r="C1036" s="218"/>
      <c r="D1036" s="219"/>
      <c r="E1036" s="220"/>
      <c r="F1036" s="220"/>
      <c r="G1036" s="220"/>
      <c r="H1036" s="220"/>
      <c r="I1036" s="220"/>
      <c r="J1036" s="280"/>
      <c r="K1036" s="281"/>
      <c r="L1036" s="281"/>
    </row>
    <row r="1037" spans="1:12" outlineLevel="1">
      <c r="A1037" s="216"/>
      <c r="B1037" s="217" t="s">
        <v>420</v>
      </c>
      <c r="C1037" s="218"/>
      <c r="D1037" s="219">
        <v>1</v>
      </c>
      <c r="E1037" s="220"/>
      <c r="F1037" s="220">
        <v>1.06</v>
      </c>
      <c r="G1037" s="220">
        <v>0.45</v>
      </c>
      <c r="H1037" s="220">
        <v>2.5</v>
      </c>
      <c r="I1037" s="220">
        <f>D1037</f>
        <v>1</v>
      </c>
      <c r="J1037" s="280"/>
      <c r="K1037" s="281"/>
      <c r="L1037" s="281"/>
    </row>
    <row r="1038" spans="1:12" outlineLevel="1">
      <c r="A1038" s="221"/>
      <c r="B1038" s="222"/>
      <c r="C1038" s="223"/>
      <c r="D1038" s="224"/>
      <c r="E1038" s="225"/>
      <c r="F1038" s="224"/>
      <c r="G1038" s="225"/>
      <c r="H1038" s="225"/>
      <c r="I1038" s="225"/>
      <c r="J1038" s="280" t="s">
        <v>1168</v>
      </c>
      <c r="K1038" s="281"/>
      <c r="L1038" s="281"/>
    </row>
    <row r="1039" spans="1:12" outlineLevel="1">
      <c r="A1039" s="188" t="s">
        <v>623</v>
      </c>
      <c r="B1039" s="189" t="s">
        <v>624</v>
      </c>
      <c r="C1039" s="233"/>
      <c r="D1039" s="234"/>
      <c r="E1039" s="235"/>
      <c r="F1039" s="235"/>
      <c r="G1039" s="235"/>
      <c r="H1039" s="235"/>
      <c r="I1039" s="236"/>
      <c r="J1039" s="280"/>
      <c r="K1039" s="281"/>
      <c r="L1039" s="281"/>
    </row>
    <row r="1040" spans="1:12" ht="110.25" outlineLevel="1">
      <c r="A1040" s="210" t="s">
        <v>630</v>
      </c>
      <c r="B1040" s="211" t="s">
        <v>879</v>
      </c>
      <c r="C1040" s="212" t="s">
        <v>226</v>
      </c>
      <c r="D1040" s="213"/>
      <c r="E1040" s="214"/>
      <c r="F1040" s="214"/>
      <c r="G1040" s="214"/>
      <c r="H1040" s="214"/>
      <c r="I1040" s="215">
        <f>SUM(I1041:I1043)</f>
        <v>1</v>
      </c>
      <c r="J1040" s="280"/>
      <c r="K1040" s="281"/>
      <c r="L1040" s="281"/>
    </row>
    <row r="1041" spans="1:12" outlineLevel="1">
      <c r="A1041" s="216"/>
      <c r="B1041" s="258" t="s">
        <v>413</v>
      </c>
      <c r="C1041" s="218"/>
      <c r="D1041" s="219"/>
      <c r="E1041" s="220"/>
      <c r="F1041" s="220"/>
      <c r="G1041" s="220"/>
      <c r="H1041" s="220"/>
      <c r="I1041" s="220"/>
      <c r="J1041" s="280" t="s">
        <v>1168</v>
      </c>
      <c r="K1041" s="281"/>
      <c r="L1041" s="281"/>
    </row>
    <row r="1042" spans="1:12" outlineLevel="1">
      <c r="A1042" s="216"/>
      <c r="B1042" s="217" t="s">
        <v>421</v>
      </c>
      <c r="C1042" s="218"/>
      <c r="D1042" s="219">
        <v>1</v>
      </c>
      <c r="E1042" s="220"/>
      <c r="F1042" s="220">
        <v>1.8</v>
      </c>
      <c r="G1042" s="220">
        <v>0.6</v>
      </c>
      <c r="H1042" s="220">
        <v>0.9</v>
      </c>
      <c r="I1042" s="220">
        <f>D1042</f>
        <v>1</v>
      </c>
      <c r="J1042" s="280"/>
      <c r="K1042" s="281"/>
      <c r="L1042" s="281"/>
    </row>
    <row r="1043" spans="1:12" outlineLevel="1">
      <c r="A1043" s="221"/>
      <c r="B1043" s="222"/>
      <c r="C1043" s="223"/>
      <c r="D1043" s="224"/>
      <c r="E1043" s="225"/>
      <c r="F1043" s="224"/>
      <c r="G1043" s="225"/>
      <c r="H1043" s="225"/>
      <c r="I1043" s="225"/>
      <c r="J1043" s="280"/>
      <c r="K1043" s="281"/>
      <c r="L1043" s="281"/>
    </row>
    <row r="1044" spans="1:12" s="26" customFormat="1" ht="110.25" outlineLevel="1">
      <c r="A1044" s="210" t="s">
        <v>646</v>
      </c>
      <c r="B1044" s="211" t="s">
        <v>880</v>
      </c>
      <c r="C1044" s="212" t="s">
        <v>226</v>
      </c>
      <c r="D1044" s="213"/>
      <c r="E1044" s="214"/>
      <c r="F1044" s="214"/>
      <c r="G1044" s="214"/>
      <c r="H1044" s="214"/>
      <c r="I1044" s="215">
        <f>SUM(I1045:I1047)</f>
        <v>1</v>
      </c>
      <c r="J1044" s="280" t="s">
        <v>1168</v>
      </c>
      <c r="K1044" s="281"/>
      <c r="L1044" s="281"/>
    </row>
    <row r="1045" spans="1:12" s="26" customFormat="1" outlineLevel="1">
      <c r="A1045" s="216"/>
      <c r="B1045" s="258" t="s">
        <v>413</v>
      </c>
      <c r="C1045" s="218"/>
      <c r="D1045" s="219"/>
      <c r="E1045" s="220"/>
      <c r="F1045" s="220"/>
      <c r="G1045" s="220"/>
      <c r="H1045" s="220"/>
      <c r="I1045" s="220"/>
      <c r="J1045" s="280"/>
      <c r="K1045" s="281"/>
      <c r="L1045" s="281"/>
    </row>
    <row r="1046" spans="1:12" s="26" customFormat="1" outlineLevel="1">
      <c r="A1046" s="216"/>
      <c r="B1046" s="217" t="s">
        <v>421</v>
      </c>
      <c r="C1046" s="218"/>
      <c r="D1046" s="219">
        <v>1</v>
      </c>
      <c r="E1046" s="220"/>
      <c r="F1046" s="220">
        <v>2.98</v>
      </c>
      <c r="G1046" s="220">
        <v>0.6</v>
      </c>
      <c r="H1046" s="220">
        <v>0.9</v>
      </c>
      <c r="I1046" s="220">
        <f>D1046</f>
        <v>1</v>
      </c>
      <c r="J1046" s="280"/>
      <c r="K1046" s="281"/>
      <c r="L1046" s="281"/>
    </row>
    <row r="1047" spans="1:12" s="26" customFormat="1" outlineLevel="1">
      <c r="A1047" s="221"/>
      <c r="B1047" s="222"/>
      <c r="C1047" s="223"/>
      <c r="D1047" s="224"/>
      <c r="E1047" s="225"/>
      <c r="F1047" s="224"/>
      <c r="G1047" s="225"/>
      <c r="H1047" s="225"/>
      <c r="I1047" s="225"/>
      <c r="J1047" s="280" t="s">
        <v>1168</v>
      </c>
      <c r="K1047" s="281"/>
      <c r="L1047" s="281"/>
    </row>
    <row r="1048" spans="1:12" ht="96" customHeight="1" outlineLevel="1">
      <c r="A1048" s="210" t="s">
        <v>647</v>
      </c>
      <c r="B1048" s="211" t="s">
        <v>636</v>
      </c>
      <c r="C1048" s="212" t="s">
        <v>8</v>
      </c>
      <c r="D1048" s="213"/>
      <c r="E1048" s="214"/>
      <c r="F1048" s="214"/>
      <c r="G1048" s="214"/>
      <c r="H1048" s="214"/>
      <c r="I1048" s="215">
        <f>SUM(I1049:I1051)</f>
        <v>1</v>
      </c>
      <c r="J1048" s="280"/>
      <c r="K1048" s="281"/>
      <c r="L1048" s="281"/>
    </row>
    <row r="1049" spans="1:12" outlineLevel="1">
      <c r="A1049" s="216"/>
      <c r="B1049" s="258" t="s">
        <v>413</v>
      </c>
      <c r="C1049" s="218"/>
      <c r="D1049" s="219"/>
      <c r="E1049" s="220"/>
      <c r="F1049" s="220"/>
      <c r="G1049" s="220"/>
      <c r="H1049" s="220"/>
      <c r="I1049" s="220"/>
      <c r="J1049" s="280"/>
      <c r="K1049" s="281"/>
      <c r="L1049" s="281"/>
    </row>
    <row r="1050" spans="1:12" outlineLevel="1">
      <c r="A1050" s="216"/>
      <c r="B1050" s="217" t="s">
        <v>420</v>
      </c>
      <c r="C1050" s="218"/>
      <c r="D1050" s="219">
        <v>1</v>
      </c>
      <c r="E1050" s="220"/>
      <c r="F1050" s="220">
        <v>1.8</v>
      </c>
      <c r="G1050" s="220">
        <v>0.6</v>
      </c>
      <c r="H1050" s="220">
        <v>0.6</v>
      </c>
      <c r="I1050" s="220">
        <f>D1050</f>
        <v>1</v>
      </c>
      <c r="J1050" s="280" t="s">
        <v>1168</v>
      </c>
      <c r="K1050" s="281"/>
      <c r="L1050" s="281"/>
    </row>
    <row r="1051" spans="1:12" outlineLevel="1">
      <c r="A1051" s="221"/>
      <c r="B1051" s="222"/>
      <c r="C1051" s="223"/>
      <c r="D1051" s="224"/>
      <c r="E1051" s="225"/>
      <c r="F1051" s="224"/>
      <c r="G1051" s="225"/>
      <c r="H1051" s="225"/>
      <c r="I1051" s="225"/>
      <c r="J1051" s="280"/>
      <c r="K1051" s="281"/>
      <c r="L1051" s="281"/>
    </row>
    <row r="1052" spans="1:12" ht="63" outlineLevel="1">
      <c r="A1052" s="210" t="s">
        <v>649</v>
      </c>
      <c r="B1052" s="211" t="s">
        <v>648</v>
      </c>
      <c r="C1052" s="212" t="s">
        <v>8</v>
      </c>
      <c r="D1052" s="213"/>
      <c r="E1052" s="214"/>
      <c r="F1052" s="214"/>
      <c r="G1052" s="214"/>
      <c r="H1052" s="214"/>
      <c r="I1052" s="215">
        <f>SUM(I1053:I1055)</f>
        <v>1</v>
      </c>
      <c r="J1052" s="280"/>
      <c r="K1052" s="281"/>
      <c r="L1052" s="281"/>
    </row>
    <row r="1053" spans="1:12" s="26" customFormat="1" outlineLevel="1">
      <c r="A1053" s="216"/>
      <c r="B1053" s="258" t="s">
        <v>413</v>
      </c>
      <c r="C1053" s="218"/>
      <c r="D1053" s="219"/>
      <c r="E1053" s="220"/>
      <c r="F1053" s="220"/>
      <c r="G1053" s="220"/>
      <c r="H1053" s="220"/>
      <c r="I1053" s="220"/>
      <c r="J1053" s="280" t="s">
        <v>1168</v>
      </c>
      <c r="K1053" s="281"/>
      <c r="L1053" s="281"/>
    </row>
    <row r="1054" spans="1:12" outlineLevel="1">
      <c r="A1054" s="216"/>
      <c r="B1054" s="217" t="s">
        <v>428</v>
      </c>
      <c r="C1054" s="218"/>
      <c r="D1054" s="219">
        <v>1</v>
      </c>
      <c r="E1054" s="220"/>
      <c r="F1054" s="220">
        <v>1.8</v>
      </c>
      <c r="G1054" s="220">
        <v>0.75</v>
      </c>
      <c r="H1054" s="220"/>
      <c r="I1054" s="220">
        <f>D1054</f>
        <v>1</v>
      </c>
      <c r="J1054" s="280"/>
      <c r="K1054" s="281"/>
      <c r="L1054" s="281"/>
    </row>
    <row r="1055" spans="1:12" outlineLevel="1">
      <c r="A1055" s="221"/>
      <c r="B1055" s="259"/>
      <c r="C1055" s="223"/>
      <c r="D1055" s="224"/>
      <c r="E1055" s="225"/>
      <c r="F1055" s="225"/>
      <c r="G1055" s="225"/>
      <c r="H1055" s="225"/>
      <c r="I1055" s="225"/>
      <c r="J1055" s="280"/>
      <c r="K1055" s="281"/>
      <c r="L1055" s="281"/>
    </row>
    <row r="1056" spans="1:12" outlineLevel="1">
      <c r="A1056" s="188" t="s">
        <v>628</v>
      </c>
      <c r="B1056" s="189" t="s">
        <v>627</v>
      </c>
      <c r="C1056" s="233"/>
      <c r="D1056" s="234"/>
      <c r="E1056" s="235"/>
      <c r="F1056" s="235"/>
      <c r="G1056" s="235"/>
      <c r="H1056" s="235"/>
      <c r="I1056" s="236"/>
      <c r="J1056" s="280" t="s">
        <v>1168</v>
      </c>
      <c r="K1056" s="281"/>
      <c r="L1056" s="281"/>
    </row>
    <row r="1057" spans="1:12" ht="78.75" outlineLevel="1">
      <c r="A1057" s="210" t="s">
        <v>629</v>
      </c>
      <c r="B1057" s="211" t="s">
        <v>650</v>
      </c>
      <c r="C1057" s="212" t="s">
        <v>8</v>
      </c>
      <c r="D1057" s="213"/>
      <c r="E1057" s="214"/>
      <c r="F1057" s="214"/>
      <c r="G1057" s="214"/>
      <c r="H1057" s="214"/>
      <c r="I1057" s="215">
        <f>SUM(I1058:I1060)</f>
        <v>1</v>
      </c>
      <c r="J1057" s="280"/>
      <c r="K1057" s="281"/>
      <c r="L1057" s="281"/>
    </row>
    <row r="1058" spans="1:12" s="26" customFormat="1" outlineLevel="1">
      <c r="A1058" s="216"/>
      <c r="B1058" s="258" t="s">
        <v>413</v>
      </c>
      <c r="C1058" s="218"/>
      <c r="D1058" s="219"/>
      <c r="E1058" s="220"/>
      <c r="F1058" s="220"/>
      <c r="G1058" s="220"/>
      <c r="H1058" s="220"/>
      <c r="I1058" s="220"/>
      <c r="J1058" s="280"/>
      <c r="K1058" s="281"/>
      <c r="L1058" s="281"/>
    </row>
    <row r="1059" spans="1:12" outlineLevel="1">
      <c r="A1059" s="216"/>
      <c r="B1059" s="217" t="s">
        <v>163</v>
      </c>
      <c r="C1059" s="218"/>
      <c r="D1059" s="219">
        <v>1</v>
      </c>
      <c r="E1059" s="220"/>
      <c r="F1059" s="220">
        <v>1.92</v>
      </c>
      <c r="G1059" s="220">
        <v>0.46</v>
      </c>
      <c r="H1059" s="220">
        <v>0.75</v>
      </c>
      <c r="I1059" s="220">
        <f>D1059</f>
        <v>1</v>
      </c>
      <c r="J1059" s="280" t="s">
        <v>1168</v>
      </c>
      <c r="K1059" s="281"/>
      <c r="L1059" s="281"/>
    </row>
    <row r="1060" spans="1:12" outlineLevel="1">
      <c r="A1060" s="221"/>
      <c r="B1060" s="259"/>
      <c r="C1060" s="223"/>
      <c r="D1060" s="224"/>
      <c r="E1060" s="225"/>
      <c r="F1060" s="225"/>
      <c r="G1060" s="225"/>
      <c r="H1060" s="225"/>
      <c r="I1060" s="225"/>
      <c r="J1060" s="280"/>
      <c r="K1060" s="281"/>
      <c r="L1060" s="281"/>
    </row>
    <row r="1061" spans="1:12" ht="78.75" outlineLevel="1">
      <c r="A1061" s="210" t="s">
        <v>652</v>
      </c>
      <c r="B1061" s="211" t="s">
        <v>651</v>
      </c>
      <c r="C1061" s="212" t="s">
        <v>8</v>
      </c>
      <c r="D1061" s="213"/>
      <c r="E1061" s="214"/>
      <c r="F1061" s="214"/>
      <c r="G1061" s="214"/>
      <c r="H1061" s="214"/>
      <c r="I1061" s="215">
        <f>SUM(I1062:I1064)</f>
        <v>1</v>
      </c>
      <c r="J1061" s="280"/>
      <c r="K1061" s="281"/>
      <c r="L1061" s="281"/>
    </row>
    <row r="1062" spans="1:12" s="26" customFormat="1" outlineLevel="1">
      <c r="A1062" s="216"/>
      <c r="B1062" s="258" t="s">
        <v>413</v>
      </c>
      <c r="C1062" s="218"/>
      <c r="D1062" s="219"/>
      <c r="E1062" s="220"/>
      <c r="F1062" s="220"/>
      <c r="G1062" s="220"/>
      <c r="H1062" s="220"/>
      <c r="I1062" s="220"/>
      <c r="J1062" s="280" t="s">
        <v>1168</v>
      </c>
      <c r="K1062" s="281"/>
      <c r="L1062" s="281"/>
    </row>
    <row r="1063" spans="1:12" outlineLevel="1">
      <c r="A1063" s="216"/>
      <c r="B1063" s="217" t="s">
        <v>163</v>
      </c>
      <c r="C1063" s="218"/>
      <c r="D1063" s="219">
        <v>1</v>
      </c>
      <c r="E1063" s="220"/>
      <c r="F1063" s="220">
        <v>3.78</v>
      </c>
      <c r="G1063" s="220">
        <v>0.6</v>
      </c>
      <c r="H1063" s="220">
        <v>0.65</v>
      </c>
      <c r="I1063" s="220">
        <f>D1063</f>
        <v>1</v>
      </c>
      <c r="J1063" s="280"/>
      <c r="K1063" s="281"/>
      <c r="L1063" s="281"/>
    </row>
    <row r="1064" spans="1:12" outlineLevel="1">
      <c r="A1064" s="221"/>
      <c r="B1064" s="259"/>
      <c r="C1064" s="223"/>
      <c r="D1064" s="224"/>
      <c r="E1064" s="225"/>
      <c r="F1064" s="225"/>
      <c r="G1064" s="225"/>
      <c r="H1064" s="225"/>
      <c r="I1064" s="225"/>
      <c r="J1064" s="280"/>
      <c r="K1064" s="281"/>
      <c r="L1064" s="281"/>
    </row>
    <row r="1065" spans="1:12" ht="94.5" outlineLevel="1">
      <c r="A1065" s="210" t="s">
        <v>653</v>
      </c>
      <c r="B1065" s="211" t="s">
        <v>654</v>
      </c>
      <c r="C1065" s="212" t="s">
        <v>8</v>
      </c>
      <c r="D1065" s="213"/>
      <c r="E1065" s="214"/>
      <c r="F1065" s="214"/>
      <c r="G1065" s="214"/>
      <c r="H1065" s="214"/>
      <c r="I1065" s="215">
        <f>SUM(I1066:I1068)</f>
        <v>1</v>
      </c>
      <c r="J1065" s="280" t="s">
        <v>1168</v>
      </c>
      <c r="K1065" s="281"/>
      <c r="L1065" s="281"/>
    </row>
    <row r="1066" spans="1:12" s="26" customFormat="1" outlineLevel="1">
      <c r="A1066" s="216"/>
      <c r="B1066" s="258" t="s">
        <v>413</v>
      </c>
      <c r="C1066" s="218"/>
      <c r="D1066" s="219"/>
      <c r="E1066" s="220"/>
      <c r="F1066" s="220"/>
      <c r="G1066" s="220"/>
      <c r="H1066" s="220"/>
      <c r="I1066" s="220"/>
      <c r="J1066" s="280"/>
      <c r="K1066" s="281"/>
      <c r="L1066" s="281"/>
    </row>
    <row r="1067" spans="1:12" outlineLevel="1">
      <c r="A1067" s="216"/>
      <c r="B1067" s="217" t="s">
        <v>163</v>
      </c>
      <c r="C1067" s="218"/>
      <c r="D1067" s="219">
        <v>1</v>
      </c>
      <c r="E1067" s="220"/>
      <c r="F1067" s="220">
        <v>0.84</v>
      </c>
      <c r="G1067" s="220">
        <v>0.6</v>
      </c>
      <c r="H1067" s="220">
        <v>1.85</v>
      </c>
      <c r="I1067" s="220">
        <f>D1067</f>
        <v>1</v>
      </c>
      <c r="J1067" s="280"/>
      <c r="K1067" s="281"/>
      <c r="L1067" s="281"/>
    </row>
    <row r="1068" spans="1:12" outlineLevel="1">
      <c r="A1068" s="221"/>
      <c r="B1068" s="259"/>
      <c r="C1068" s="223"/>
      <c r="D1068" s="224"/>
      <c r="E1068" s="225"/>
      <c r="F1068" s="225"/>
      <c r="G1068" s="225"/>
      <c r="H1068" s="225"/>
      <c r="I1068" s="225"/>
      <c r="J1068" s="280" t="s">
        <v>1168</v>
      </c>
      <c r="K1068" s="281"/>
      <c r="L1068" s="281"/>
    </row>
    <row r="1069" spans="1:12" ht="78.75" outlineLevel="1">
      <c r="A1069" s="210" t="s">
        <v>655</v>
      </c>
      <c r="B1069" s="211" t="s">
        <v>656</v>
      </c>
      <c r="C1069" s="212" t="s">
        <v>8</v>
      </c>
      <c r="D1069" s="213"/>
      <c r="E1069" s="214"/>
      <c r="F1069" s="214"/>
      <c r="G1069" s="214"/>
      <c r="H1069" s="214"/>
      <c r="I1069" s="215">
        <f>SUM(I1070:I1072)</f>
        <v>1</v>
      </c>
      <c r="J1069" s="280"/>
      <c r="K1069" s="281"/>
      <c r="L1069" s="281"/>
    </row>
    <row r="1070" spans="1:12" s="26" customFormat="1" outlineLevel="1">
      <c r="A1070" s="216"/>
      <c r="B1070" s="258" t="s">
        <v>413</v>
      </c>
      <c r="C1070" s="218"/>
      <c r="D1070" s="219"/>
      <c r="E1070" s="220"/>
      <c r="F1070" s="220"/>
      <c r="G1070" s="220"/>
      <c r="H1070" s="220"/>
      <c r="I1070" s="220"/>
      <c r="J1070" s="280"/>
      <c r="K1070" s="281"/>
      <c r="L1070" s="281"/>
    </row>
    <row r="1071" spans="1:12" outlineLevel="1">
      <c r="A1071" s="216"/>
      <c r="B1071" s="217" t="s">
        <v>163</v>
      </c>
      <c r="C1071" s="218"/>
      <c r="D1071" s="219">
        <v>1</v>
      </c>
      <c r="E1071" s="220"/>
      <c r="F1071" s="220">
        <v>0.42</v>
      </c>
      <c r="G1071" s="220">
        <v>0.35</v>
      </c>
      <c r="H1071" s="220">
        <v>1.85</v>
      </c>
      <c r="I1071" s="220">
        <f>D1071</f>
        <v>1</v>
      </c>
      <c r="J1071" s="280" t="s">
        <v>1168</v>
      </c>
      <c r="K1071" s="281"/>
      <c r="L1071" s="281"/>
    </row>
    <row r="1072" spans="1:12" outlineLevel="1">
      <c r="A1072" s="221"/>
      <c r="B1072" s="259"/>
      <c r="C1072" s="223"/>
      <c r="D1072" s="224"/>
      <c r="E1072" s="225"/>
      <c r="F1072" s="225"/>
      <c r="G1072" s="225"/>
      <c r="H1072" s="225"/>
      <c r="I1072" s="225"/>
      <c r="J1072" s="280"/>
      <c r="K1072" s="281"/>
      <c r="L1072" s="281"/>
    </row>
    <row r="1073" spans="1:12" outlineLevel="1">
      <c r="A1073" s="188" t="s">
        <v>632</v>
      </c>
      <c r="B1073" s="189" t="s">
        <v>625</v>
      </c>
      <c r="C1073" s="233"/>
      <c r="D1073" s="234"/>
      <c r="E1073" s="235"/>
      <c r="F1073" s="235"/>
      <c r="G1073" s="235"/>
      <c r="H1073" s="235"/>
      <c r="I1073" s="236"/>
      <c r="J1073" s="280"/>
      <c r="K1073" s="281"/>
      <c r="L1073" s="281"/>
    </row>
    <row r="1074" spans="1:12" ht="63" outlineLevel="1">
      <c r="A1074" s="210" t="s">
        <v>633</v>
      </c>
      <c r="B1074" s="211" t="s">
        <v>899</v>
      </c>
      <c r="C1074" s="212" t="s">
        <v>4</v>
      </c>
      <c r="D1074" s="213"/>
      <c r="E1074" s="214"/>
      <c r="F1074" s="214"/>
      <c r="G1074" s="214"/>
      <c r="H1074" s="214"/>
      <c r="I1074" s="215">
        <f>SUM(I1075:I1081)</f>
        <v>6.0419999999999998</v>
      </c>
      <c r="J1074" s="280" t="s">
        <v>1168</v>
      </c>
      <c r="K1074" s="281"/>
      <c r="L1074" s="281"/>
    </row>
    <row r="1075" spans="1:12" outlineLevel="1">
      <c r="A1075" s="216"/>
      <c r="B1075" s="258" t="s">
        <v>414</v>
      </c>
      <c r="C1075" s="218"/>
      <c r="D1075" s="219"/>
      <c r="E1075" s="220"/>
      <c r="F1075" s="220"/>
      <c r="G1075" s="220"/>
      <c r="H1075" s="220"/>
      <c r="I1075" s="220"/>
      <c r="J1075" s="280"/>
      <c r="K1075" s="281"/>
      <c r="L1075" s="281"/>
    </row>
    <row r="1076" spans="1:12" outlineLevel="1">
      <c r="A1076" s="216"/>
      <c r="B1076" s="217" t="s">
        <v>473</v>
      </c>
      <c r="C1076" s="218"/>
      <c r="D1076" s="219">
        <v>2</v>
      </c>
      <c r="E1076" s="220">
        <f>F1076*G1076*D1076</f>
        <v>1.5</v>
      </c>
      <c r="F1076" s="220">
        <v>1.25</v>
      </c>
      <c r="G1076" s="220">
        <v>0.6</v>
      </c>
      <c r="H1076" s="220"/>
      <c r="I1076" s="220">
        <f>E1076</f>
        <v>1.5</v>
      </c>
      <c r="J1076" s="280"/>
      <c r="K1076" s="281"/>
      <c r="L1076" s="281"/>
    </row>
    <row r="1077" spans="1:12" outlineLevel="1">
      <c r="A1077" s="216"/>
      <c r="B1077" s="217" t="s">
        <v>473</v>
      </c>
      <c r="C1077" s="218"/>
      <c r="D1077" s="219">
        <v>1</v>
      </c>
      <c r="E1077" s="220">
        <f t="shared" ref="E1077:E1080" si="37">F1077*G1077*D1077</f>
        <v>0.81</v>
      </c>
      <c r="F1077" s="220">
        <v>1.35</v>
      </c>
      <c r="G1077" s="220">
        <v>0.6</v>
      </c>
      <c r="H1077" s="220"/>
      <c r="I1077" s="220">
        <f t="shared" ref="I1077:I1080" si="38">E1077</f>
        <v>0.81</v>
      </c>
      <c r="J1077" s="280" t="s">
        <v>1168</v>
      </c>
      <c r="K1077" s="281"/>
      <c r="L1077" s="281"/>
    </row>
    <row r="1078" spans="1:12" outlineLevel="1">
      <c r="A1078" s="216"/>
      <c r="B1078" s="217" t="s">
        <v>473</v>
      </c>
      <c r="C1078" s="218"/>
      <c r="D1078" s="219">
        <v>1</v>
      </c>
      <c r="E1078" s="220">
        <f t="shared" si="37"/>
        <v>0.91199999999999992</v>
      </c>
      <c r="F1078" s="220">
        <v>1.52</v>
      </c>
      <c r="G1078" s="220">
        <v>0.6</v>
      </c>
      <c r="H1078" s="220"/>
      <c r="I1078" s="220">
        <f t="shared" si="38"/>
        <v>0.91199999999999992</v>
      </c>
      <c r="J1078" s="280"/>
      <c r="K1078" s="281"/>
      <c r="L1078" s="281"/>
    </row>
    <row r="1079" spans="1:12" outlineLevel="1">
      <c r="A1079" s="216"/>
      <c r="B1079" s="217" t="s">
        <v>473</v>
      </c>
      <c r="C1079" s="218"/>
      <c r="D1079" s="219">
        <v>2</v>
      </c>
      <c r="E1079" s="220">
        <f t="shared" si="37"/>
        <v>1.8359999999999999</v>
      </c>
      <c r="F1079" s="220">
        <v>1.53</v>
      </c>
      <c r="G1079" s="220">
        <v>0.6</v>
      </c>
      <c r="H1079" s="220"/>
      <c r="I1079" s="220">
        <f t="shared" ref="I1079" si="39">E1079</f>
        <v>1.8359999999999999</v>
      </c>
      <c r="J1079" s="280"/>
      <c r="K1079" s="281"/>
      <c r="L1079" s="281"/>
    </row>
    <row r="1080" spans="1:12" outlineLevel="1">
      <c r="A1080" s="216"/>
      <c r="B1080" s="217" t="s">
        <v>473</v>
      </c>
      <c r="C1080" s="218"/>
      <c r="D1080" s="219">
        <v>1</v>
      </c>
      <c r="E1080" s="220">
        <f t="shared" si="37"/>
        <v>0.98399999999999987</v>
      </c>
      <c r="F1080" s="220">
        <v>1.64</v>
      </c>
      <c r="G1080" s="220">
        <v>0.6</v>
      </c>
      <c r="H1080" s="220"/>
      <c r="I1080" s="220">
        <f t="shared" si="38"/>
        <v>0.98399999999999987</v>
      </c>
      <c r="J1080" s="280" t="s">
        <v>1168</v>
      </c>
      <c r="K1080" s="281"/>
      <c r="L1080" s="281"/>
    </row>
    <row r="1081" spans="1:12" outlineLevel="1">
      <c r="A1081" s="221"/>
      <c r="B1081" s="259"/>
      <c r="C1081" s="223"/>
      <c r="D1081" s="224"/>
      <c r="E1081" s="225"/>
      <c r="F1081" s="225"/>
      <c r="G1081" s="225"/>
      <c r="H1081" s="225"/>
      <c r="I1081" s="225"/>
      <c r="J1081" s="280"/>
      <c r="K1081" s="281"/>
      <c r="L1081" s="281"/>
    </row>
    <row r="1082" spans="1:12" ht="78.75" outlineLevel="1">
      <c r="A1082" s="210" t="s">
        <v>666</v>
      </c>
      <c r="B1082" s="211" t="s">
        <v>667</v>
      </c>
      <c r="C1082" s="212" t="s">
        <v>226</v>
      </c>
      <c r="D1082" s="213"/>
      <c r="E1082" s="214"/>
      <c r="F1082" s="214"/>
      <c r="G1082" s="214"/>
      <c r="H1082" s="214"/>
      <c r="I1082" s="215">
        <f>SUM(I1083:I1085)</f>
        <v>1</v>
      </c>
      <c r="J1082" s="280"/>
      <c r="K1082" s="281"/>
      <c r="L1082" s="281"/>
    </row>
    <row r="1083" spans="1:12" outlineLevel="1">
      <c r="A1083" s="216"/>
      <c r="B1083" s="258" t="s">
        <v>414</v>
      </c>
      <c r="C1083" s="218"/>
      <c r="D1083" s="219"/>
      <c r="E1083" s="220"/>
      <c r="F1083" s="220"/>
      <c r="G1083" s="220"/>
      <c r="H1083" s="220"/>
      <c r="I1083" s="220"/>
      <c r="J1083" s="280" t="s">
        <v>1168</v>
      </c>
      <c r="K1083" s="281"/>
      <c r="L1083" s="281"/>
    </row>
    <row r="1084" spans="1:12" outlineLevel="1">
      <c r="A1084" s="216"/>
      <c r="B1084" s="217" t="s">
        <v>473</v>
      </c>
      <c r="C1084" s="218"/>
      <c r="D1084" s="219">
        <v>1</v>
      </c>
      <c r="E1084" s="220"/>
      <c r="F1084" s="220">
        <v>6.04</v>
      </c>
      <c r="G1084" s="220">
        <v>0.52</v>
      </c>
      <c r="H1084" s="220">
        <v>2.5</v>
      </c>
      <c r="I1084" s="220">
        <f>D1084</f>
        <v>1</v>
      </c>
      <c r="J1084" s="280"/>
      <c r="K1084" s="281"/>
      <c r="L1084" s="281"/>
    </row>
    <row r="1085" spans="1:12" outlineLevel="1">
      <c r="A1085" s="221"/>
      <c r="B1085" s="222"/>
      <c r="C1085" s="223"/>
      <c r="D1085" s="224"/>
      <c r="E1085" s="225"/>
      <c r="F1085" s="224"/>
      <c r="G1085" s="225"/>
      <c r="H1085" s="225"/>
      <c r="I1085" s="225"/>
      <c r="J1085" s="280"/>
      <c r="K1085" s="281"/>
      <c r="L1085" s="281"/>
    </row>
    <row r="1086" spans="1:12">
      <c r="A1086" s="227" t="s">
        <v>172</v>
      </c>
      <c r="B1086" s="228" t="s">
        <v>78</v>
      </c>
      <c r="C1086" s="229"/>
      <c r="D1086" s="230"/>
      <c r="E1086" s="271"/>
      <c r="F1086" s="271"/>
      <c r="G1086" s="271"/>
      <c r="H1086" s="271"/>
      <c r="I1086" s="272"/>
      <c r="J1086" s="280" t="s">
        <v>1168</v>
      </c>
      <c r="K1086" s="281"/>
      <c r="L1086" s="281"/>
    </row>
    <row r="1087" spans="1:12" outlineLevel="1">
      <c r="A1087" s="210" t="s">
        <v>173</v>
      </c>
      <c r="B1087" s="211" t="s">
        <v>391</v>
      </c>
      <c r="C1087" s="212" t="s">
        <v>226</v>
      </c>
      <c r="D1087" s="213"/>
      <c r="E1087" s="214"/>
      <c r="F1087" s="214"/>
      <c r="G1087" s="214"/>
      <c r="H1087" s="214"/>
      <c r="I1087" s="215">
        <f>SUM(I1088:I1090)</f>
        <v>1</v>
      </c>
      <c r="J1087" s="280"/>
      <c r="K1087" s="281"/>
      <c r="L1087" s="281"/>
    </row>
    <row r="1088" spans="1:12" outlineLevel="1">
      <c r="A1088" s="216"/>
      <c r="B1088" s="258" t="s">
        <v>413</v>
      </c>
      <c r="C1088" s="218"/>
      <c r="D1088" s="219"/>
      <c r="E1088" s="220"/>
      <c r="F1088" s="220"/>
      <c r="G1088" s="220"/>
      <c r="H1088" s="220"/>
      <c r="I1088" s="220"/>
      <c r="J1088" s="280"/>
      <c r="K1088" s="281"/>
      <c r="L1088" s="281"/>
    </row>
    <row r="1089" spans="1:12" outlineLevel="1">
      <c r="A1089" s="216"/>
      <c r="B1089" s="217" t="s">
        <v>163</v>
      </c>
      <c r="C1089" s="218"/>
      <c r="D1089" s="219">
        <v>1</v>
      </c>
      <c r="E1089" s="220"/>
      <c r="F1089" s="220"/>
      <c r="G1089" s="220"/>
      <c r="H1089" s="220"/>
      <c r="I1089" s="220">
        <f>D1089</f>
        <v>1</v>
      </c>
      <c r="J1089" s="280" t="s">
        <v>1168</v>
      </c>
      <c r="K1089" s="281"/>
      <c r="L1089" s="281"/>
    </row>
    <row r="1090" spans="1:12" outlineLevel="1">
      <c r="A1090" s="221"/>
      <c r="B1090" s="222"/>
      <c r="C1090" s="223"/>
      <c r="D1090" s="224"/>
      <c r="E1090" s="225"/>
      <c r="F1090" s="224"/>
      <c r="G1090" s="225"/>
      <c r="H1090" s="225"/>
      <c r="I1090" s="225"/>
      <c r="J1090" s="280"/>
      <c r="K1090" s="281"/>
      <c r="L1090" s="281"/>
    </row>
    <row r="1091" spans="1:12" ht="31.5" outlineLevel="1">
      <c r="A1091" s="210" t="s">
        <v>210</v>
      </c>
      <c r="B1091" s="211" t="s">
        <v>882</v>
      </c>
      <c r="C1091" s="212" t="s">
        <v>226</v>
      </c>
      <c r="D1091" s="213"/>
      <c r="E1091" s="214"/>
      <c r="F1091" s="214"/>
      <c r="G1091" s="214"/>
      <c r="H1091" s="214"/>
      <c r="I1091" s="215">
        <f>SUM(I1092:I1094)</f>
        <v>1</v>
      </c>
      <c r="J1091" s="280"/>
      <c r="K1091" s="281"/>
      <c r="L1091" s="281"/>
    </row>
    <row r="1092" spans="1:12" outlineLevel="1">
      <c r="A1092" s="216"/>
      <c r="B1092" s="258" t="s">
        <v>413</v>
      </c>
      <c r="C1092" s="218"/>
      <c r="D1092" s="219"/>
      <c r="E1092" s="220"/>
      <c r="F1092" s="220"/>
      <c r="G1092" s="220"/>
      <c r="H1092" s="220"/>
      <c r="I1092" s="220"/>
      <c r="J1092" s="280" t="s">
        <v>1168</v>
      </c>
      <c r="K1092" s="281"/>
      <c r="L1092" s="281"/>
    </row>
    <row r="1093" spans="1:12" outlineLevel="1">
      <c r="A1093" s="216"/>
      <c r="B1093" s="217" t="s">
        <v>163</v>
      </c>
      <c r="C1093" s="218"/>
      <c r="D1093" s="219">
        <v>1</v>
      </c>
      <c r="E1093" s="220"/>
      <c r="F1093" s="220"/>
      <c r="G1093" s="220"/>
      <c r="H1093" s="220"/>
      <c r="I1093" s="220">
        <f>D1093</f>
        <v>1</v>
      </c>
      <c r="J1093" s="280"/>
      <c r="K1093" s="281"/>
      <c r="L1093" s="281"/>
    </row>
    <row r="1094" spans="1:12" outlineLevel="1">
      <c r="A1094" s="221"/>
      <c r="B1094" s="222"/>
      <c r="C1094" s="223"/>
      <c r="D1094" s="224"/>
      <c r="E1094" s="225"/>
      <c r="F1094" s="224"/>
      <c r="G1094" s="225"/>
      <c r="H1094" s="225"/>
      <c r="I1094" s="225"/>
      <c r="J1094" s="280"/>
      <c r="K1094" s="281"/>
      <c r="L1094" s="281"/>
    </row>
    <row r="1095" spans="1:12" outlineLevel="1">
      <c r="A1095" s="210" t="s">
        <v>211</v>
      </c>
      <c r="B1095" s="211" t="s">
        <v>392</v>
      </c>
      <c r="C1095" s="212" t="s">
        <v>226</v>
      </c>
      <c r="D1095" s="213"/>
      <c r="E1095" s="214"/>
      <c r="F1095" s="214"/>
      <c r="G1095" s="214"/>
      <c r="H1095" s="214"/>
      <c r="I1095" s="215">
        <f>SUM(I1096:I1098)</f>
        <v>1</v>
      </c>
      <c r="J1095" s="280" t="s">
        <v>1168</v>
      </c>
      <c r="K1095" s="281"/>
      <c r="L1095" s="281"/>
    </row>
    <row r="1096" spans="1:12" outlineLevel="1">
      <c r="A1096" s="216"/>
      <c r="B1096" s="258" t="s">
        <v>413</v>
      </c>
      <c r="C1096" s="218"/>
      <c r="D1096" s="219"/>
      <c r="E1096" s="220"/>
      <c r="F1096" s="220"/>
      <c r="G1096" s="220"/>
      <c r="H1096" s="220"/>
      <c r="I1096" s="220"/>
      <c r="J1096" s="280"/>
      <c r="K1096" s="281"/>
      <c r="L1096" s="281"/>
    </row>
    <row r="1097" spans="1:12" outlineLevel="1">
      <c r="A1097" s="216"/>
      <c r="B1097" s="217" t="s">
        <v>163</v>
      </c>
      <c r="C1097" s="218"/>
      <c r="D1097" s="219">
        <v>1</v>
      </c>
      <c r="E1097" s="220"/>
      <c r="F1097" s="220"/>
      <c r="G1097" s="220"/>
      <c r="H1097" s="220"/>
      <c r="I1097" s="220">
        <f>D1097</f>
        <v>1</v>
      </c>
      <c r="J1097" s="280"/>
      <c r="K1097" s="281"/>
      <c r="L1097" s="281"/>
    </row>
    <row r="1098" spans="1:12" outlineLevel="1">
      <c r="A1098" s="221"/>
      <c r="B1098" s="222"/>
      <c r="C1098" s="223"/>
      <c r="D1098" s="224"/>
      <c r="E1098" s="225"/>
      <c r="F1098" s="224"/>
      <c r="G1098" s="225"/>
      <c r="H1098" s="225"/>
      <c r="I1098" s="225"/>
      <c r="J1098" s="280" t="s">
        <v>1168</v>
      </c>
      <c r="K1098" s="281"/>
      <c r="L1098" s="281"/>
    </row>
    <row r="1099" spans="1:12" ht="31.5" outlineLevel="1">
      <c r="A1099" s="210" t="s">
        <v>387</v>
      </c>
      <c r="B1099" s="211" t="s">
        <v>393</v>
      </c>
      <c r="C1099" s="212" t="s">
        <v>226</v>
      </c>
      <c r="D1099" s="213"/>
      <c r="E1099" s="214"/>
      <c r="F1099" s="214"/>
      <c r="G1099" s="214"/>
      <c r="H1099" s="214"/>
      <c r="I1099" s="215">
        <f>SUM(I1100:I1102)</f>
        <v>1</v>
      </c>
      <c r="J1099" s="280"/>
      <c r="K1099" s="281"/>
      <c r="L1099" s="281"/>
    </row>
    <row r="1100" spans="1:12" outlineLevel="1">
      <c r="A1100" s="216"/>
      <c r="B1100" s="258" t="s">
        <v>413</v>
      </c>
      <c r="C1100" s="218"/>
      <c r="D1100" s="219"/>
      <c r="E1100" s="220"/>
      <c r="F1100" s="220"/>
      <c r="G1100" s="220"/>
      <c r="H1100" s="220"/>
      <c r="I1100" s="220"/>
      <c r="J1100" s="280"/>
      <c r="K1100" s="281"/>
      <c r="L1100" s="281"/>
    </row>
    <row r="1101" spans="1:12" outlineLevel="1">
      <c r="A1101" s="216"/>
      <c r="B1101" s="217" t="s">
        <v>163</v>
      </c>
      <c r="C1101" s="218"/>
      <c r="D1101" s="219">
        <v>1</v>
      </c>
      <c r="E1101" s="220"/>
      <c r="F1101" s="220"/>
      <c r="G1101" s="220"/>
      <c r="H1101" s="220"/>
      <c r="I1101" s="220">
        <f>D1101</f>
        <v>1</v>
      </c>
      <c r="J1101" s="280" t="s">
        <v>1168</v>
      </c>
      <c r="K1101" s="281"/>
      <c r="L1101" s="281"/>
    </row>
    <row r="1102" spans="1:12" outlineLevel="1">
      <c r="A1102" s="221"/>
      <c r="B1102" s="222"/>
      <c r="C1102" s="223"/>
      <c r="D1102" s="224"/>
      <c r="E1102" s="225"/>
      <c r="F1102" s="224"/>
      <c r="G1102" s="225"/>
      <c r="H1102" s="225"/>
      <c r="I1102" s="225"/>
      <c r="J1102" s="280"/>
      <c r="K1102" s="281"/>
      <c r="L1102" s="281"/>
    </row>
    <row r="1103" spans="1:12" ht="31.5" outlineLevel="1">
      <c r="A1103" s="210" t="s">
        <v>388</v>
      </c>
      <c r="B1103" s="211" t="s">
        <v>394</v>
      </c>
      <c r="C1103" s="212" t="s">
        <v>226</v>
      </c>
      <c r="D1103" s="213"/>
      <c r="E1103" s="214"/>
      <c r="F1103" s="214"/>
      <c r="G1103" s="214"/>
      <c r="H1103" s="214"/>
      <c r="I1103" s="215">
        <f>SUM(I1104:I1106)</f>
        <v>2</v>
      </c>
      <c r="J1103" s="280"/>
      <c r="K1103" s="281"/>
      <c r="L1103" s="281"/>
    </row>
    <row r="1104" spans="1:12" outlineLevel="1">
      <c r="A1104" s="216"/>
      <c r="B1104" s="258" t="s">
        <v>413</v>
      </c>
      <c r="C1104" s="218"/>
      <c r="D1104" s="219"/>
      <c r="E1104" s="220"/>
      <c r="F1104" s="220"/>
      <c r="G1104" s="220"/>
      <c r="H1104" s="220"/>
      <c r="I1104" s="220"/>
      <c r="J1104" s="280" t="s">
        <v>1168</v>
      </c>
      <c r="K1104" s="281"/>
      <c r="L1104" s="281"/>
    </row>
    <row r="1105" spans="1:12" outlineLevel="1">
      <c r="A1105" s="216"/>
      <c r="B1105" s="217" t="s">
        <v>163</v>
      </c>
      <c r="C1105" s="218"/>
      <c r="D1105" s="219">
        <v>2</v>
      </c>
      <c r="E1105" s="220"/>
      <c r="F1105" s="220"/>
      <c r="G1105" s="220"/>
      <c r="H1105" s="220"/>
      <c r="I1105" s="220">
        <f>D1105</f>
        <v>2</v>
      </c>
      <c r="J1105" s="280"/>
      <c r="K1105" s="281"/>
      <c r="L1105" s="281"/>
    </row>
    <row r="1106" spans="1:12" outlineLevel="1">
      <c r="A1106" s="221"/>
      <c r="B1106" s="222"/>
      <c r="C1106" s="223"/>
      <c r="D1106" s="224"/>
      <c r="E1106" s="225"/>
      <c r="F1106" s="224"/>
      <c r="G1106" s="225"/>
      <c r="H1106" s="225"/>
      <c r="I1106" s="225"/>
      <c r="J1106" s="280"/>
      <c r="K1106" s="281"/>
      <c r="L1106" s="281"/>
    </row>
    <row r="1107" spans="1:12" outlineLevel="1">
      <c r="A1107" s="210" t="s">
        <v>389</v>
      </c>
      <c r="B1107" s="211" t="s">
        <v>395</v>
      </c>
      <c r="C1107" s="212" t="s">
        <v>226</v>
      </c>
      <c r="D1107" s="213"/>
      <c r="E1107" s="214"/>
      <c r="F1107" s="214"/>
      <c r="G1107" s="214"/>
      <c r="H1107" s="214"/>
      <c r="I1107" s="215">
        <f>SUM(I1108:I1110)</f>
        <v>1</v>
      </c>
      <c r="J1107" s="280" t="s">
        <v>1168</v>
      </c>
      <c r="K1107" s="281"/>
      <c r="L1107" s="281"/>
    </row>
    <row r="1108" spans="1:12" outlineLevel="1">
      <c r="A1108" s="216"/>
      <c r="B1108" s="258" t="s">
        <v>413</v>
      </c>
      <c r="C1108" s="218"/>
      <c r="D1108" s="219"/>
      <c r="E1108" s="220"/>
      <c r="F1108" s="220"/>
      <c r="G1108" s="220"/>
      <c r="H1108" s="220"/>
      <c r="I1108" s="220"/>
      <c r="J1108" s="280"/>
      <c r="K1108" s="281"/>
      <c r="L1108" s="281"/>
    </row>
    <row r="1109" spans="1:12" outlineLevel="1">
      <c r="A1109" s="216"/>
      <c r="B1109" s="217" t="s">
        <v>420</v>
      </c>
      <c r="C1109" s="218"/>
      <c r="D1109" s="219">
        <v>1</v>
      </c>
      <c r="E1109" s="220"/>
      <c r="F1109" s="220"/>
      <c r="G1109" s="220"/>
      <c r="H1109" s="220"/>
      <c r="I1109" s="220">
        <f>D1109</f>
        <v>1</v>
      </c>
      <c r="J1109" s="280"/>
      <c r="K1109" s="281"/>
      <c r="L1109" s="281"/>
    </row>
    <row r="1110" spans="1:12" outlineLevel="1">
      <c r="A1110" s="221"/>
      <c r="B1110" s="222"/>
      <c r="C1110" s="223"/>
      <c r="D1110" s="224"/>
      <c r="E1110" s="225"/>
      <c r="F1110" s="224"/>
      <c r="G1110" s="225"/>
      <c r="H1110" s="225"/>
      <c r="I1110" s="225"/>
      <c r="J1110" s="280" t="s">
        <v>1168</v>
      </c>
      <c r="K1110" s="281"/>
      <c r="L1110" s="281"/>
    </row>
    <row r="1111" spans="1:12" s="26" customFormat="1" outlineLevel="1">
      <c r="A1111" s="210" t="s">
        <v>390</v>
      </c>
      <c r="B1111" s="211" t="s">
        <v>396</v>
      </c>
      <c r="C1111" s="212" t="s">
        <v>226</v>
      </c>
      <c r="D1111" s="213"/>
      <c r="E1111" s="214"/>
      <c r="F1111" s="214"/>
      <c r="G1111" s="214"/>
      <c r="H1111" s="214"/>
      <c r="I1111" s="215">
        <f>SUM(I1112:I1114)</f>
        <v>1</v>
      </c>
      <c r="J1111" s="280"/>
      <c r="K1111" s="281"/>
      <c r="L1111" s="281"/>
    </row>
    <row r="1112" spans="1:12" s="26" customFormat="1" outlineLevel="1">
      <c r="A1112" s="216"/>
      <c r="B1112" s="258" t="s">
        <v>413</v>
      </c>
      <c r="C1112" s="218"/>
      <c r="D1112" s="219"/>
      <c r="E1112" s="220"/>
      <c r="F1112" s="220"/>
      <c r="G1112" s="220"/>
      <c r="H1112" s="220"/>
      <c r="I1112" s="220"/>
      <c r="J1112" s="280"/>
      <c r="K1112" s="281"/>
      <c r="L1112" s="281"/>
    </row>
    <row r="1113" spans="1:12" s="26" customFormat="1" outlineLevel="1">
      <c r="A1113" s="216"/>
      <c r="B1113" s="217" t="s">
        <v>420</v>
      </c>
      <c r="C1113" s="218"/>
      <c r="D1113" s="219">
        <v>1</v>
      </c>
      <c r="E1113" s="220"/>
      <c r="F1113" s="220"/>
      <c r="G1113" s="220"/>
      <c r="H1113" s="220"/>
      <c r="I1113" s="220">
        <f>D1113</f>
        <v>1</v>
      </c>
      <c r="J1113" s="280" t="s">
        <v>1168</v>
      </c>
      <c r="K1113" s="281"/>
      <c r="L1113" s="281"/>
    </row>
    <row r="1114" spans="1:12" s="26" customFormat="1" outlineLevel="1">
      <c r="A1114" s="221"/>
      <c r="B1114" s="222"/>
      <c r="C1114" s="223"/>
      <c r="D1114" s="224"/>
      <c r="E1114" s="225"/>
      <c r="F1114" s="224"/>
      <c r="G1114" s="225"/>
      <c r="H1114" s="225"/>
      <c r="I1114" s="225"/>
      <c r="J1114" s="280"/>
      <c r="K1114" s="281"/>
      <c r="L1114" s="281"/>
    </row>
    <row r="1115" spans="1:12" s="26" customFormat="1">
      <c r="A1115" s="227" t="s">
        <v>179</v>
      </c>
      <c r="B1115" s="228" t="s">
        <v>386</v>
      </c>
      <c r="C1115" s="229"/>
      <c r="D1115" s="230"/>
      <c r="E1115" s="231"/>
      <c r="F1115" s="231"/>
      <c r="G1115" s="231"/>
      <c r="H1115" s="231"/>
      <c r="I1115" s="232"/>
      <c r="J1115" s="280"/>
      <c r="K1115" s="281"/>
      <c r="L1115" s="281"/>
    </row>
    <row r="1116" spans="1:12" ht="47.25" outlineLevel="1">
      <c r="A1116" s="210" t="s">
        <v>184</v>
      </c>
      <c r="B1116" s="211" t="s">
        <v>572</v>
      </c>
      <c r="C1116" s="212" t="s">
        <v>226</v>
      </c>
      <c r="D1116" s="213" t="s">
        <v>140</v>
      </c>
      <c r="E1116" s="214"/>
      <c r="F1116" s="214" t="s">
        <v>579</v>
      </c>
      <c r="G1116" s="214"/>
      <c r="H1116" s="214" t="s">
        <v>407</v>
      </c>
      <c r="I1116" s="215"/>
      <c r="J1116" s="280" t="s">
        <v>1168</v>
      </c>
      <c r="K1116" s="281"/>
      <c r="L1116" s="281"/>
    </row>
    <row r="1117" spans="1:12" s="26" customFormat="1" outlineLevel="1">
      <c r="A1117" s="240"/>
      <c r="B1117" s="258" t="s">
        <v>411</v>
      </c>
      <c r="C1117" s="218"/>
      <c r="D1117" s="219"/>
      <c r="E1117" s="220"/>
      <c r="F1117" s="220"/>
      <c r="G1117" s="220"/>
      <c r="H1117" s="220"/>
      <c r="I1117" s="220"/>
      <c r="J1117" s="280"/>
      <c r="K1117" s="281"/>
      <c r="L1117" s="281"/>
    </row>
    <row r="1118" spans="1:12" s="26" customFormat="1" outlineLevel="1">
      <c r="A1118" s="240"/>
      <c r="B1118" s="217" t="s">
        <v>420</v>
      </c>
      <c r="C1118" s="218"/>
      <c r="D1118" s="219">
        <v>1</v>
      </c>
      <c r="E1118" s="220"/>
      <c r="F1118" s="220">
        <v>2.4</v>
      </c>
      <c r="G1118" s="220"/>
      <c r="H1118" s="220">
        <v>1.7</v>
      </c>
      <c r="I1118" s="220">
        <f>D1118</f>
        <v>1</v>
      </c>
      <c r="J1118" s="280"/>
      <c r="K1118" s="281"/>
      <c r="L1118" s="281"/>
    </row>
    <row r="1119" spans="1:12" s="26" customFormat="1" ht="15.75" customHeight="1" outlineLevel="1">
      <c r="A1119" s="240"/>
      <c r="B1119" s="217" t="s">
        <v>420</v>
      </c>
      <c r="C1119" s="218"/>
      <c r="D1119" s="219">
        <v>1</v>
      </c>
      <c r="E1119" s="220"/>
      <c r="F1119" s="220">
        <v>2.2000000000000002</v>
      </c>
      <c r="G1119" s="220"/>
      <c r="H1119" s="220">
        <v>1.7</v>
      </c>
      <c r="I1119" s="220">
        <f>D1119</f>
        <v>1</v>
      </c>
      <c r="J1119" s="280" t="s">
        <v>1168</v>
      </c>
      <c r="K1119" s="281"/>
      <c r="L1119" s="281"/>
    </row>
    <row r="1120" spans="1:12" s="26" customFormat="1" outlineLevel="1">
      <c r="A1120" s="240"/>
      <c r="B1120" s="258" t="s">
        <v>413</v>
      </c>
      <c r="C1120" s="218"/>
      <c r="D1120" s="219"/>
      <c r="E1120" s="220"/>
      <c r="F1120" s="220"/>
      <c r="G1120" s="220"/>
      <c r="H1120" s="220"/>
      <c r="I1120" s="220"/>
      <c r="J1120" s="280"/>
      <c r="K1120" s="281"/>
      <c r="L1120" s="281"/>
    </row>
    <row r="1121" spans="1:12" s="26" customFormat="1" outlineLevel="1">
      <c r="A1121" s="240"/>
      <c r="B1121" s="217" t="s">
        <v>573</v>
      </c>
      <c r="C1121" s="218"/>
      <c r="D1121" s="219">
        <v>1</v>
      </c>
      <c r="E1121" s="220"/>
      <c r="F1121" s="220">
        <v>4.9800000000000004</v>
      </c>
      <c r="G1121" s="220"/>
      <c r="H1121" s="220">
        <v>1.7</v>
      </c>
      <c r="I1121" s="220">
        <f t="shared" ref="I1121:I1126" si="40">D1121</f>
        <v>1</v>
      </c>
      <c r="J1121" s="280"/>
      <c r="K1121" s="281"/>
      <c r="L1121" s="281"/>
    </row>
    <row r="1122" spans="1:12" s="26" customFormat="1" ht="15.75" customHeight="1" outlineLevel="1">
      <c r="A1122" s="240"/>
      <c r="B1122" s="217" t="s">
        <v>573</v>
      </c>
      <c r="C1122" s="218"/>
      <c r="D1122" s="219">
        <v>1</v>
      </c>
      <c r="E1122" s="220"/>
      <c r="F1122" s="220">
        <v>5.03</v>
      </c>
      <c r="G1122" s="220"/>
      <c r="H1122" s="220">
        <v>1.7</v>
      </c>
      <c r="I1122" s="220">
        <f t="shared" si="40"/>
        <v>1</v>
      </c>
      <c r="J1122" s="280" t="s">
        <v>1168</v>
      </c>
      <c r="K1122" s="281"/>
      <c r="L1122" s="281"/>
    </row>
    <row r="1123" spans="1:12" s="26" customFormat="1" outlineLevel="1">
      <c r="A1123" s="240"/>
      <c r="B1123" s="217" t="s">
        <v>421</v>
      </c>
      <c r="C1123" s="218"/>
      <c r="D1123" s="219">
        <v>1</v>
      </c>
      <c r="E1123" s="220"/>
      <c r="F1123" s="220">
        <v>4.6399999999999997</v>
      </c>
      <c r="G1123" s="220"/>
      <c r="H1123" s="220">
        <v>1.7</v>
      </c>
      <c r="I1123" s="220">
        <f t="shared" si="40"/>
        <v>1</v>
      </c>
      <c r="J1123" s="280"/>
      <c r="K1123" s="281"/>
      <c r="L1123" s="281"/>
    </row>
    <row r="1124" spans="1:12" s="26" customFormat="1" outlineLevel="1">
      <c r="A1124" s="240"/>
      <c r="B1124" s="217" t="s">
        <v>420</v>
      </c>
      <c r="C1124" s="218"/>
      <c r="D1124" s="219">
        <v>1</v>
      </c>
      <c r="E1124" s="220"/>
      <c r="F1124" s="220">
        <v>4.13</v>
      </c>
      <c r="G1124" s="220"/>
      <c r="H1124" s="220">
        <v>1.7</v>
      </c>
      <c r="I1124" s="220">
        <f t="shared" si="40"/>
        <v>1</v>
      </c>
      <c r="J1124" s="280"/>
      <c r="K1124" s="281"/>
      <c r="L1124" s="281"/>
    </row>
    <row r="1125" spans="1:12" s="26" customFormat="1" ht="15.75" customHeight="1" outlineLevel="1">
      <c r="A1125" s="240"/>
      <c r="B1125" s="217" t="s">
        <v>420</v>
      </c>
      <c r="C1125" s="218"/>
      <c r="D1125" s="219">
        <v>1</v>
      </c>
      <c r="E1125" s="220"/>
      <c r="F1125" s="220">
        <f>3.68+0.14</f>
        <v>3.8200000000000003</v>
      </c>
      <c r="G1125" s="220"/>
      <c r="H1125" s="220">
        <v>1.7</v>
      </c>
      <c r="I1125" s="220">
        <f t="shared" si="40"/>
        <v>1</v>
      </c>
      <c r="J1125" s="280" t="s">
        <v>1168</v>
      </c>
      <c r="K1125" s="281"/>
      <c r="L1125" s="281"/>
    </row>
    <row r="1126" spans="1:12" s="26" customFormat="1" outlineLevel="1">
      <c r="A1126" s="240"/>
      <c r="B1126" s="217" t="s">
        <v>420</v>
      </c>
      <c r="C1126" s="218"/>
      <c r="D1126" s="219">
        <v>1</v>
      </c>
      <c r="E1126" s="220"/>
      <c r="F1126" s="220">
        <f>0.855+1.005</f>
        <v>1.8599999999999999</v>
      </c>
      <c r="G1126" s="220"/>
      <c r="H1126" s="220">
        <v>1.7</v>
      </c>
      <c r="I1126" s="220">
        <f t="shared" si="40"/>
        <v>1</v>
      </c>
      <c r="J1126" s="280"/>
      <c r="K1126" s="281"/>
      <c r="L1126" s="281"/>
    </row>
    <row r="1127" spans="1:12" s="26" customFormat="1" outlineLevel="1">
      <c r="A1127" s="240"/>
      <c r="B1127" s="258" t="s">
        <v>414</v>
      </c>
      <c r="C1127" s="218"/>
      <c r="D1127" s="219"/>
      <c r="E1127" s="220"/>
      <c r="F1127" s="220"/>
      <c r="G1127" s="220"/>
      <c r="H1127" s="220"/>
      <c r="I1127" s="220"/>
      <c r="J1127" s="280"/>
      <c r="K1127" s="281"/>
      <c r="L1127" s="281"/>
    </row>
    <row r="1128" spans="1:12" s="26" customFormat="1" ht="15.75" customHeight="1" outlineLevel="1">
      <c r="A1128" s="240"/>
      <c r="B1128" s="217" t="s">
        <v>420</v>
      </c>
      <c r="C1128" s="218"/>
      <c r="D1128" s="219">
        <v>1</v>
      </c>
      <c r="E1128" s="220"/>
      <c r="F1128" s="220">
        <v>2.17</v>
      </c>
      <c r="G1128" s="220"/>
      <c r="H1128" s="220">
        <v>1.7</v>
      </c>
      <c r="I1128" s="220">
        <f t="shared" ref="I1128:I1137" si="41">D1128</f>
        <v>1</v>
      </c>
      <c r="J1128" s="280" t="s">
        <v>1168</v>
      </c>
      <c r="K1128" s="281"/>
      <c r="L1128" s="281"/>
    </row>
    <row r="1129" spans="1:12" s="26" customFormat="1" outlineLevel="1">
      <c r="A1129" s="240"/>
      <c r="B1129" s="217" t="s">
        <v>420</v>
      </c>
      <c r="C1129" s="218"/>
      <c r="D1129" s="219">
        <v>1</v>
      </c>
      <c r="E1129" s="220"/>
      <c r="F1129" s="220">
        <v>2.94</v>
      </c>
      <c r="G1129" s="220"/>
      <c r="H1129" s="220">
        <v>1.7</v>
      </c>
      <c r="I1129" s="220">
        <f t="shared" si="41"/>
        <v>1</v>
      </c>
      <c r="J1129" s="280"/>
      <c r="K1129" s="281"/>
      <c r="L1129" s="281"/>
    </row>
    <row r="1130" spans="1:12" s="26" customFormat="1" outlineLevel="1">
      <c r="A1130" s="240"/>
      <c r="B1130" s="217" t="s">
        <v>420</v>
      </c>
      <c r="C1130" s="218"/>
      <c r="D1130" s="219">
        <v>1</v>
      </c>
      <c r="E1130" s="220"/>
      <c r="F1130" s="220">
        <v>2.9</v>
      </c>
      <c r="G1130" s="220"/>
      <c r="H1130" s="220">
        <v>1.7</v>
      </c>
      <c r="I1130" s="220">
        <f t="shared" si="41"/>
        <v>1</v>
      </c>
      <c r="J1130" s="280"/>
      <c r="K1130" s="281"/>
      <c r="L1130" s="281"/>
    </row>
    <row r="1131" spans="1:12" ht="15.75" customHeight="1" outlineLevel="1">
      <c r="A1131" s="240"/>
      <c r="B1131" s="217" t="s">
        <v>420</v>
      </c>
      <c r="C1131" s="218"/>
      <c r="D1131" s="219">
        <v>1</v>
      </c>
      <c r="E1131" s="220"/>
      <c r="F1131" s="220">
        <v>2.15</v>
      </c>
      <c r="G1131" s="220"/>
      <c r="H1131" s="220">
        <v>1.7</v>
      </c>
      <c r="I1131" s="220">
        <f t="shared" si="41"/>
        <v>1</v>
      </c>
      <c r="J1131" s="280" t="s">
        <v>1168</v>
      </c>
      <c r="K1131" s="281"/>
      <c r="L1131" s="281"/>
    </row>
    <row r="1132" spans="1:12" outlineLevel="1">
      <c r="A1132" s="240"/>
      <c r="B1132" s="217" t="s">
        <v>574</v>
      </c>
      <c r="C1132" s="218"/>
      <c r="D1132" s="219">
        <v>1</v>
      </c>
      <c r="E1132" s="220"/>
      <c r="F1132" s="220">
        <v>4.67</v>
      </c>
      <c r="G1132" s="220"/>
      <c r="H1132" s="220">
        <v>1.7</v>
      </c>
      <c r="I1132" s="220">
        <f t="shared" si="41"/>
        <v>1</v>
      </c>
      <c r="J1132" s="280"/>
      <c r="K1132" s="281"/>
      <c r="L1132" s="281"/>
    </row>
    <row r="1133" spans="1:12" outlineLevel="1">
      <c r="A1133" s="240"/>
      <c r="B1133" s="217" t="s">
        <v>574</v>
      </c>
      <c r="C1133" s="218"/>
      <c r="D1133" s="219">
        <v>1</v>
      </c>
      <c r="E1133" s="220"/>
      <c r="F1133" s="220">
        <v>5</v>
      </c>
      <c r="G1133" s="220"/>
      <c r="H1133" s="220">
        <v>1.7</v>
      </c>
      <c r="I1133" s="220">
        <f t="shared" si="41"/>
        <v>1</v>
      </c>
      <c r="J1133" s="280"/>
      <c r="K1133" s="281"/>
      <c r="L1133" s="281"/>
    </row>
    <row r="1134" spans="1:12" ht="15.75" customHeight="1" outlineLevel="1">
      <c r="A1134" s="240"/>
      <c r="B1134" s="217" t="s">
        <v>574</v>
      </c>
      <c r="C1134" s="218"/>
      <c r="D1134" s="219">
        <v>1</v>
      </c>
      <c r="E1134" s="220"/>
      <c r="F1134" s="220">
        <v>2.71</v>
      </c>
      <c r="G1134" s="220"/>
      <c r="H1134" s="220">
        <v>1.7</v>
      </c>
      <c r="I1134" s="220">
        <f t="shared" si="41"/>
        <v>1</v>
      </c>
      <c r="J1134" s="280" t="s">
        <v>1168</v>
      </c>
      <c r="K1134" s="281"/>
      <c r="L1134" s="281"/>
    </row>
    <row r="1135" spans="1:12" outlineLevel="1">
      <c r="A1135" s="240"/>
      <c r="B1135" s="217" t="s">
        <v>431</v>
      </c>
      <c r="C1135" s="218"/>
      <c r="D1135" s="219">
        <v>1</v>
      </c>
      <c r="E1135" s="220"/>
      <c r="F1135" s="220">
        <v>3.76</v>
      </c>
      <c r="G1135" s="220"/>
      <c r="H1135" s="220">
        <v>1.7</v>
      </c>
      <c r="I1135" s="220">
        <f t="shared" si="41"/>
        <v>1</v>
      </c>
      <c r="J1135" s="280"/>
      <c r="K1135" s="281"/>
      <c r="L1135" s="281"/>
    </row>
    <row r="1136" spans="1:12" outlineLevel="1">
      <c r="A1136" s="240"/>
      <c r="B1136" s="217" t="s">
        <v>431</v>
      </c>
      <c r="C1136" s="218"/>
      <c r="D1136" s="219">
        <v>1</v>
      </c>
      <c r="E1136" s="220"/>
      <c r="F1136" s="220">
        <v>3.61</v>
      </c>
      <c r="G1136" s="220"/>
      <c r="H1136" s="220">
        <v>1.7</v>
      </c>
      <c r="I1136" s="220">
        <f t="shared" si="41"/>
        <v>1</v>
      </c>
      <c r="J1136" s="280"/>
      <c r="K1136" s="281"/>
      <c r="L1136" s="281"/>
    </row>
    <row r="1137" spans="1:12" ht="15.75" customHeight="1" outlineLevel="1">
      <c r="A1137" s="240"/>
      <c r="B1137" s="217" t="s">
        <v>431</v>
      </c>
      <c r="C1137" s="218"/>
      <c r="D1137" s="219">
        <v>1</v>
      </c>
      <c r="E1137" s="220"/>
      <c r="F1137" s="220">
        <f>0.855+1.005</f>
        <v>1.8599999999999999</v>
      </c>
      <c r="G1137" s="220"/>
      <c r="H1137" s="220">
        <v>1.7</v>
      </c>
      <c r="I1137" s="220">
        <f t="shared" si="41"/>
        <v>1</v>
      </c>
      <c r="J1137" s="280" t="s">
        <v>1168</v>
      </c>
      <c r="K1137" s="281"/>
      <c r="L1137" s="281"/>
    </row>
    <row r="1138" spans="1:12" outlineLevel="1">
      <c r="A1138" s="252"/>
      <c r="B1138" s="222"/>
      <c r="C1138" s="223"/>
      <c r="D1138" s="224"/>
      <c r="E1138" s="225"/>
      <c r="F1138" s="224"/>
      <c r="G1138" s="225"/>
      <c r="H1138" s="225"/>
      <c r="I1138" s="225"/>
      <c r="J1138" s="280"/>
      <c r="K1138" s="281"/>
      <c r="L1138" s="281"/>
    </row>
    <row r="1139" spans="1:12">
      <c r="A1139" s="227" t="s">
        <v>185</v>
      </c>
      <c r="B1139" s="228" t="s">
        <v>575</v>
      </c>
      <c r="C1139" s="229"/>
      <c r="D1139" s="230"/>
      <c r="E1139" s="231"/>
      <c r="F1139" s="231"/>
      <c r="G1139" s="231"/>
      <c r="H1139" s="231"/>
      <c r="I1139" s="232"/>
      <c r="J1139" s="280"/>
      <c r="K1139" s="281"/>
      <c r="L1139" s="281"/>
    </row>
    <row r="1140" spans="1:12" ht="15.75" customHeight="1" outlineLevel="1">
      <c r="A1140" s="210" t="s">
        <v>212</v>
      </c>
      <c r="B1140" s="211" t="s">
        <v>576</v>
      </c>
      <c r="C1140" s="212" t="s">
        <v>4</v>
      </c>
      <c r="D1140" s="213"/>
      <c r="E1140" s="214"/>
      <c r="F1140" s="214"/>
      <c r="G1140" s="214"/>
      <c r="H1140" s="214"/>
      <c r="I1140" s="215">
        <f>SUM(I1141)</f>
        <v>710</v>
      </c>
      <c r="J1140" s="280" t="s">
        <v>1168</v>
      </c>
      <c r="K1140" s="281"/>
      <c r="L1140" s="281"/>
    </row>
    <row r="1141" spans="1:12" outlineLevel="1">
      <c r="A1141" s="216"/>
      <c r="B1141" s="217"/>
      <c r="C1141" s="218"/>
      <c r="D1141" s="219"/>
      <c r="E1141" s="220">
        <v>710</v>
      </c>
      <c r="F1141" s="220"/>
      <c r="G1141" s="220"/>
      <c r="H1141" s="220"/>
      <c r="I1141" s="220">
        <f>E1141</f>
        <v>710</v>
      </c>
      <c r="J1141" s="280"/>
      <c r="K1141" s="281"/>
      <c r="L1141" s="281"/>
    </row>
    <row r="1142" spans="1:12" outlineLevel="1">
      <c r="A1142" s="221"/>
      <c r="B1142" s="222"/>
      <c r="C1142" s="223"/>
      <c r="D1142" s="224"/>
      <c r="E1142" s="225"/>
      <c r="F1142" s="225"/>
      <c r="G1142" s="225"/>
      <c r="H1142" s="225"/>
      <c r="I1142" s="225"/>
      <c r="J1142" s="280"/>
      <c r="K1142" s="281"/>
      <c r="L1142" s="281"/>
    </row>
    <row r="1143" spans="1:12" ht="15.75" customHeight="1">
      <c r="A1143" s="27"/>
      <c r="B1143" s="28"/>
      <c r="C1143" s="29"/>
      <c r="D1143" s="30"/>
    </row>
    <row r="1144" spans="1:12">
      <c r="A1144" s="27"/>
      <c r="B1144" s="28"/>
      <c r="C1144" s="29"/>
      <c r="D1144" s="30"/>
    </row>
  </sheetData>
  <mergeCells count="381">
    <mergeCell ref="J1128:L1130"/>
    <mergeCell ref="J1131:L1133"/>
    <mergeCell ref="J1134:L1136"/>
    <mergeCell ref="J1137:L1139"/>
    <mergeCell ref="J1140:L1142"/>
    <mergeCell ref="J1113:L1115"/>
    <mergeCell ref="J1116:L1118"/>
    <mergeCell ref="J1119:L1121"/>
    <mergeCell ref="J1122:L1124"/>
    <mergeCell ref="J1125:L1127"/>
    <mergeCell ref="J1098:L1100"/>
    <mergeCell ref="J1101:L1103"/>
    <mergeCell ref="J1104:L1106"/>
    <mergeCell ref="J1107:L1109"/>
    <mergeCell ref="J1110:L1112"/>
    <mergeCell ref="J1083:L1085"/>
    <mergeCell ref="J1086:L1088"/>
    <mergeCell ref="J1089:L1091"/>
    <mergeCell ref="J1092:L1094"/>
    <mergeCell ref="J1095:L1097"/>
    <mergeCell ref="J1068:L1070"/>
    <mergeCell ref="J1071:L1073"/>
    <mergeCell ref="J1074:L1076"/>
    <mergeCell ref="J1077:L1079"/>
    <mergeCell ref="J1080:L1082"/>
    <mergeCell ref="J1053:L1055"/>
    <mergeCell ref="J1056:L1058"/>
    <mergeCell ref="J1059:L1061"/>
    <mergeCell ref="J1062:L1064"/>
    <mergeCell ref="J1065:L1067"/>
    <mergeCell ref="J1038:L1040"/>
    <mergeCell ref="J1041:L1043"/>
    <mergeCell ref="J1044:L1046"/>
    <mergeCell ref="J1047:L1049"/>
    <mergeCell ref="J1050:L1052"/>
    <mergeCell ref="J1023:L1025"/>
    <mergeCell ref="J1026:L1028"/>
    <mergeCell ref="J1029:L1031"/>
    <mergeCell ref="J1032:L1034"/>
    <mergeCell ref="J1035:L1037"/>
    <mergeCell ref="J1008:L1010"/>
    <mergeCell ref="J1011:L1013"/>
    <mergeCell ref="J1014:L1016"/>
    <mergeCell ref="J1017:L1019"/>
    <mergeCell ref="J1020:L1022"/>
    <mergeCell ref="J993:L995"/>
    <mergeCell ref="J996:L998"/>
    <mergeCell ref="J999:L1001"/>
    <mergeCell ref="J1002:L1004"/>
    <mergeCell ref="J1005:L1007"/>
    <mergeCell ref="J978:L980"/>
    <mergeCell ref="J981:L983"/>
    <mergeCell ref="J984:L986"/>
    <mergeCell ref="J987:L989"/>
    <mergeCell ref="J990:L992"/>
    <mergeCell ref="J963:L965"/>
    <mergeCell ref="J966:L968"/>
    <mergeCell ref="J969:L971"/>
    <mergeCell ref="J972:L974"/>
    <mergeCell ref="J975:L977"/>
    <mergeCell ref="J948:L950"/>
    <mergeCell ref="J951:L953"/>
    <mergeCell ref="J954:L956"/>
    <mergeCell ref="J957:L959"/>
    <mergeCell ref="J960:L962"/>
    <mergeCell ref="J933:L935"/>
    <mergeCell ref="J936:L938"/>
    <mergeCell ref="J939:L941"/>
    <mergeCell ref="J942:L944"/>
    <mergeCell ref="J945:L947"/>
    <mergeCell ref="J918:L920"/>
    <mergeCell ref="J921:L923"/>
    <mergeCell ref="J924:L926"/>
    <mergeCell ref="J927:L929"/>
    <mergeCell ref="J930:L932"/>
    <mergeCell ref="J903:L905"/>
    <mergeCell ref="J906:L908"/>
    <mergeCell ref="J909:L911"/>
    <mergeCell ref="J912:L914"/>
    <mergeCell ref="J915:L917"/>
    <mergeCell ref="J888:L890"/>
    <mergeCell ref="J891:L893"/>
    <mergeCell ref="J894:L896"/>
    <mergeCell ref="J897:L899"/>
    <mergeCell ref="J900:L902"/>
    <mergeCell ref="J873:L875"/>
    <mergeCell ref="J876:L878"/>
    <mergeCell ref="J879:L881"/>
    <mergeCell ref="J882:L884"/>
    <mergeCell ref="J885:L887"/>
    <mergeCell ref="J858:L860"/>
    <mergeCell ref="J861:L863"/>
    <mergeCell ref="J864:L866"/>
    <mergeCell ref="J867:L869"/>
    <mergeCell ref="J870:L872"/>
    <mergeCell ref="J843:L845"/>
    <mergeCell ref="J846:L848"/>
    <mergeCell ref="J849:L851"/>
    <mergeCell ref="J852:L854"/>
    <mergeCell ref="J855:L857"/>
    <mergeCell ref="J825:L827"/>
    <mergeCell ref="J828:L830"/>
    <mergeCell ref="J831:L833"/>
    <mergeCell ref="J834:L836"/>
    <mergeCell ref="J837:L839"/>
    <mergeCell ref="J840:L842"/>
    <mergeCell ref="J810:L812"/>
    <mergeCell ref="J813:L815"/>
    <mergeCell ref="J816:L818"/>
    <mergeCell ref="J819:L821"/>
    <mergeCell ref="J822:L824"/>
    <mergeCell ref="J795:L797"/>
    <mergeCell ref="J798:L800"/>
    <mergeCell ref="J801:L803"/>
    <mergeCell ref="J804:L806"/>
    <mergeCell ref="J807:L809"/>
    <mergeCell ref="J780:L782"/>
    <mergeCell ref="J783:L785"/>
    <mergeCell ref="J786:L788"/>
    <mergeCell ref="J789:L791"/>
    <mergeCell ref="J792:L794"/>
    <mergeCell ref="J765:L767"/>
    <mergeCell ref="J768:L770"/>
    <mergeCell ref="J771:L773"/>
    <mergeCell ref="J774:L776"/>
    <mergeCell ref="J777:L779"/>
    <mergeCell ref="J750:L752"/>
    <mergeCell ref="J753:L755"/>
    <mergeCell ref="J756:L758"/>
    <mergeCell ref="J759:L761"/>
    <mergeCell ref="J762:L764"/>
    <mergeCell ref="J735:L737"/>
    <mergeCell ref="J738:L740"/>
    <mergeCell ref="J741:L743"/>
    <mergeCell ref="J744:L746"/>
    <mergeCell ref="J747:L749"/>
    <mergeCell ref="J720:L722"/>
    <mergeCell ref="J723:L725"/>
    <mergeCell ref="J726:L728"/>
    <mergeCell ref="J729:L731"/>
    <mergeCell ref="J732:L734"/>
    <mergeCell ref="J705:L707"/>
    <mergeCell ref="J708:L710"/>
    <mergeCell ref="J711:L713"/>
    <mergeCell ref="J714:L716"/>
    <mergeCell ref="J717:L719"/>
    <mergeCell ref="J690:L692"/>
    <mergeCell ref="J693:L695"/>
    <mergeCell ref="J696:L698"/>
    <mergeCell ref="J699:L701"/>
    <mergeCell ref="J702:L704"/>
    <mergeCell ref="J675:L677"/>
    <mergeCell ref="J678:L680"/>
    <mergeCell ref="J681:L683"/>
    <mergeCell ref="J684:L686"/>
    <mergeCell ref="J687:L689"/>
    <mergeCell ref="J660:L662"/>
    <mergeCell ref="J663:L665"/>
    <mergeCell ref="J666:L668"/>
    <mergeCell ref="J669:L671"/>
    <mergeCell ref="J672:L674"/>
    <mergeCell ref="J645:L647"/>
    <mergeCell ref="J648:L650"/>
    <mergeCell ref="J651:L653"/>
    <mergeCell ref="J654:L656"/>
    <mergeCell ref="J657:L659"/>
    <mergeCell ref="J630:L632"/>
    <mergeCell ref="J633:L635"/>
    <mergeCell ref="J636:L638"/>
    <mergeCell ref="J639:L641"/>
    <mergeCell ref="J642:L644"/>
    <mergeCell ref="J615:L617"/>
    <mergeCell ref="J618:L620"/>
    <mergeCell ref="J621:L623"/>
    <mergeCell ref="J624:L626"/>
    <mergeCell ref="J627:L629"/>
    <mergeCell ref="J600:L602"/>
    <mergeCell ref="J603:L605"/>
    <mergeCell ref="J606:L608"/>
    <mergeCell ref="J609:L611"/>
    <mergeCell ref="J612:L614"/>
    <mergeCell ref="J585:L587"/>
    <mergeCell ref="J588:L590"/>
    <mergeCell ref="J591:L593"/>
    <mergeCell ref="J594:L596"/>
    <mergeCell ref="J597:L599"/>
    <mergeCell ref="J570:L572"/>
    <mergeCell ref="J573:L575"/>
    <mergeCell ref="J576:L578"/>
    <mergeCell ref="J579:L581"/>
    <mergeCell ref="J582:L584"/>
    <mergeCell ref="J555:L557"/>
    <mergeCell ref="J558:L560"/>
    <mergeCell ref="J561:L563"/>
    <mergeCell ref="J564:L566"/>
    <mergeCell ref="J567:L569"/>
    <mergeCell ref="J540:L542"/>
    <mergeCell ref="J543:L545"/>
    <mergeCell ref="J546:L548"/>
    <mergeCell ref="J549:L551"/>
    <mergeCell ref="J552:L554"/>
    <mergeCell ref="J525:L527"/>
    <mergeCell ref="J528:L530"/>
    <mergeCell ref="J531:L533"/>
    <mergeCell ref="J534:L536"/>
    <mergeCell ref="J537:L539"/>
    <mergeCell ref="J510:L512"/>
    <mergeCell ref="J513:L515"/>
    <mergeCell ref="J516:L518"/>
    <mergeCell ref="J519:L521"/>
    <mergeCell ref="J522:L524"/>
    <mergeCell ref="J495:L497"/>
    <mergeCell ref="J498:L500"/>
    <mergeCell ref="J501:L503"/>
    <mergeCell ref="J504:L506"/>
    <mergeCell ref="J507:L509"/>
    <mergeCell ref="J480:L482"/>
    <mergeCell ref="J483:L485"/>
    <mergeCell ref="J486:L488"/>
    <mergeCell ref="J489:L491"/>
    <mergeCell ref="J492:L494"/>
    <mergeCell ref="J465:L467"/>
    <mergeCell ref="J468:L470"/>
    <mergeCell ref="J471:L473"/>
    <mergeCell ref="J474:L476"/>
    <mergeCell ref="J477:L479"/>
    <mergeCell ref="J450:L452"/>
    <mergeCell ref="J453:L455"/>
    <mergeCell ref="J456:L458"/>
    <mergeCell ref="J459:L461"/>
    <mergeCell ref="J462:L464"/>
    <mergeCell ref="J435:L437"/>
    <mergeCell ref="J438:L440"/>
    <mergeCell ref="J441:L443"/>
    <mergeCell ref="J444:L446"/>
    <mergeCell ref="J447:L449"/>
    <mergeCell ref="J420:L422"/>
    <mergeCell ref="J423:L425"/>
    <mergeCell ref="J426:L428"/>
    <mergeCell ref="J429:L431"/>
    <mergeCell ref="J432:L434"/>
    <mergeCell ref="J405:L407"/>
    <mergeCell ref="J408:L410"/>
    <mergeCell ref="J411:L413"/>
    <mergeCell ref="J414:L416"/>
    <mergeCell ref="J417:L419"/>
    <mergeCell ref="J390:L392"/>
    <mergeCell ref="J393:L395"/>
    <mergeCell ref="J396:L398"/>
    <mergeCell ref="J399:L401"/>
    <mergeCell ref="J402:L404"/>
    <mergeCell ref="J375:L377"/>
    <mergeCell ref="J378:L380"/>
    <mergeCell ref="J381:L383"/>
    <mergeCell ref="J384:L386"/>
    <mergeCell ref="J387:L389"/>
    <mergeCell ref="J360:L362"/>
    <mergeCell ref="J363:L365"/>
    <mergeCell ref="J366:L368"/>
    <mergeCell ref="J369:L371"/>
    <mergeCell ref="J372:L374"/>
    <mergeCell ref="J345:L347"/>
    <mergeCell ref="J348:L350"/>
    <mergeCell ref="J351:L353"/>
    <mergeCell ref="J354:L356"/>
    <mergeCell ref="J357:L359"/>
    <mergeCell ref="J330:L332"/>
    <mergeCell ref="J333:L335"/>
    <mergeCell ref="J336:L338"/>
    <mergeCell ref="J339:L341"/>
    <mergeCell ref="J342:L344"/>
    <mergeCell ref="J315:L317"/>
    <mergeCell ref="J318:L320"/>
    <mergeCell ref="J321:L323"/>
    <mergeCell ref="J324:L326"/>
    <mergeCell ref="J327:L329"/>
    <mergeCell ref="J300:L302"/>
    <mergeCell ref="J303:L305"/>
    <mergeCell ref="J306:L308"/>
    <mergeCell ref="J309:L311"/>
    <mergeCell ref="J312:L314"/>
    <mergeCell ref="J285:L287"/>
    <mergeCell ref="J288:L290"/>
    <mergeCell ref="J291:L293"/>
    <mergeCell ref="J294:L296"/>
    <mergeCell ref="J297:L299"/>
    <mergeCell ref="J270:L272"/>
    <mergeCell ref="J273:L275"/>
    <mergeCell ref="J276:L278"/>
    <mergeCell ref="J279:L281"/>
    <mergeCell ref="J282:L284"/>
    <mergeCell ref="J255:L257"/>
    <mergeCell ref="J258:L260"/>
    <mergeCell ref="J261:L263"/>
    <mergeCell ref="J264:L266"/>
    <mergeCell ref="J267:L269"/>
    <mergeCell ref="J240:L242"/>
    <mergeCell ref="J243:L245"/>
    <mergeCell ref="J246:L248"/>
    <mergeCell ref="J249:L251"/>
    <mergeCell ref="J252:L254"/>
    <mergeCell ref="J225:L227"/>
    <mergeCell ref="J228:L230"/>
    <mergeCell ref="J231:L233"/>
    <mergeCell ref="J234:L236"/>
    <mergeCell ref="J237:L239"/>
    <mergeCell ref="J210:L212"/>
    <mergeCell ref="J213:L215"/>
    <mergeCell ref="J216:L218"/>
    <mergeCell ref="J219:L221"/>
    <mergeCell ref="J222:L224"/>
    <mergeCell ref="J195:L197"/>
    <mergeCell ref="J198:L200"/>
    <mergeCell ref="J201:L203"/>
    <mergeCell ref="J204:L206"/>
    <mergeCell ref="J207:L209"/>
    <mergeCell ref="J180:L182"/>
    <mergeCell ref="J183:L185"/>
    <mergeCell ref="J186:L188"/>
    <mergeCell ref="J189:L191"/>
    <mergeCell ref="J192:L194"/>
    <mergeCell ref="J165:L167"/>
    <mergeCell ref="J168:L170"/>
    <mergeCell ref="J171:L173"/>
    <mergeCell ref="J174:L176"/>
    <mergeCell ref="J177:L179"/>
    <mergeCell ref="J150:L152"/>
    <mergeCell ref="J153:L155"/>
    <mergeCell ref="J156:L158"/>
    <mergeCell ref="J159:L161"/>
    <mergeCell ref="J162:L164"/>
    <mergeCell ref="J135:L137"/>
    <mergeCell ref="J138:L140"/>
    <mergeCell ref="J141:L143"/>
    <mergeCell ref="J144:L146"/>
    <mergeCell ref="J147:L149"/>
    <mergeCell ref="J120:L122"/>
    <mergeCell ref="J123:L125"/>
    <mergeCell ref="J126:L128"/>
    <mergeCell ref="J129:L131"/>
    <mergeCell ref="J132:L134"/>
    <mergeCell ref="J105:L107"/>
    <mergeCell ref="J108:L110"/>
    <mergeCell ref="J111:L113"/>
    <mergeCell ref="J114:L116"/>
    <mergeCell ref="J117:L119"/>
    <mergeCell ref="J90:L92"/>
    <mergeCell ref="J93:L95"/>
    <mergeCell ref="J96:L98"/>
    <mergeCell ref="J99:L101"/>
    <mergeCell ref="J102:L104"/>
    <mergeCell ref="J75:L77"/>
    <mergeCell ref="J78:L80"/>
    <mergeCell ref="J81:L83"/>
    <mergeCell ref="J84:L86"/>
    <mergeCell ref="J87:L89"/>
    <mergeCell ref="J60:L62"/>
    <mergeCell ref="J63:L65"/>
    <mergeCell ref="J66:L68"/>
    <mergeCell ref="J69:L71"/>
    <mergeCell ref="J72:L74"/>
    <mergeCell ref="J45:L47"/>
    <mergeCell ref="J48:L50"/>
    <mergeCell ref="J51:L53"/>
    <mergeCell ref="J54:L56"/>
    <mergeCell ref="J57:L59"/>
    <mergeCell ref="J30:L32"/>
    <mergeCell ref="J33:L35"/>
    <mergeCell ref="J36:L38"/>
    <mergeCell ref="J39:L41"/>
    <mergeCell ref="J42:L44"/>
    <mergeCell ref="J15:L17"/>
    <mergeCell ref="J18:L20"/>
    <mergeCell ref="J21:L23"/>
    <mergeCell ref="J24:L26"/>
    <mergeCell ref="J27:L29"/>
    <mergeCell ref="A3:I3"/>
    <mergeCell ref="J3:L5"/>
    <mergeCell ref="J6:L8"/>
    <mergeCell ref="J9:L11"/>
    <mergeCell ref="J12:L14"/>
  </mergeCells>
  <pageMargins left="0.23622047244094491" right="0.23622047244094491" top="0.74803149606299213" bottom="0.74803149606299213" header="0.31496062992125984" footer="0.31496062992125984"/>
  <pageSetup paperSize="9" scale="27" fitToWidth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 sintética</vt:lpstr>
      <vt:lpstr>Planilha analítica</vt:lpstr>
      <vt:lpstr>Memoria de Cálculo</vt:lpstr>
      <vt:lpstr>'Memoria de Cálculo'!Area_de_impressao</vt:lpstr>
      <vt:lpstr>'Planilha analítica'!Area_de_impressao</vt:lpstr>
      <vt:lpstr>'Planilha sintética'!Area_de_impressao</vt:lpstr>
      <vt:lpstr>'Memoria de Cálculo'!Titulos_de_impressao</vt:lpstr>
      <vt:lpstr>'Planilha analítica'!Titulos_de_impressao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</dc:creator>
  <cp:lastModifiedBy>Lucas Henrique de Assis</cp:lastModifiedBy>
  <cp:lastPrinted>2022-09-11T02:02:20Z</cp:lastPrinted>
  <dcterms:created xsi:type="dcterms:W3CDTF">2010-06-14T18:55:37Z</dcterms:created>
  <dcterms:modified xsi:type="dcterms:W3CDTF">2022-10-24T17:21:17Z</dcterms:modified>
</cp:coreProperties>
</file>